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SSD-PGMU3/蓬田2025/申請書類ホルダー/"/>
    </mc:Choice>
  </mc:AlternateContent>
  <xr:revisionPtr revIDLastSave="0" documentId="13_ncr:1_{00CCE485-680D-1D40-9BA5-6C1412135A41}" xr6:coauthVersionLast="47" xr6:coauthVersionMax="47" xr10:uidLastSave="{00000000-0000-0000-0000-000000000000}"/>
  <bookViews>
    <workbookView xWindow="8880" yWindow="4400" windowWidth="18160" windowHeight="16860" firstSheet="2" activeTab="14" xr2:uid="{FB0075F5-6C07-844C-99D0-EFA68460FF8C}"/>
  </bookViews>
  <sheets>
    <sheet name="2.生物量表 2" sheetId="1" r:id="rId1"/>
    <sheet name="2.生物量表 3" sheetId="2" r:id="rId2"/>
    <sheet name="2.生物量表　4" sheetId="3" r:id="rId3"/>
    <sheet name="2.生物量表　5" sheetId="13" r:id="rId4"/>
    <sheet name="3.CO2吸収量表1" sheetId="4" r:id="rId5"/>
    <sheet name="3.CO2吸収量表2" sheetId="5" r:id="rId6"/>
    <sheet name="3.CO2吸収量表3" sheetId="14" r:id="rId7"/>
    <sheet name="4.ベースライン　表1" sheetId="15" r:id="rId8"/>
    <sheet name="4.ベースライン　表2" sheetId="6" r:id="rId9"/>
    <sheet name="4.ベースライン　表3" sheetId="7" r:id="rId10"/>
    <sheet name="4.ベースライン　表4" sheetId="8" r:id="rId11"/>
    <sheet name="4.ベースライン 表5" sheetId="9" r:id="rId12"/>
    <sheet name="4.ベースライン 表6" sheetId="10" r:id="rId13"/>
    <sheet name="4.ベースライン 表7" sheetId="16" r:id="rId14"/>
    <sheet name="4.ベースライン 表8" sheetId="11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1" l="1"/>
  <c r="D12" i="11"/>
  <c r="D5" i="11"/>
  <c r="D10" i="16"/>
  <c r="D9" i="16"/>
  <c r="D6" i="16"/>
  <c r="E8" i="8"/>
  <c r="E11" i="8"/>
  <c r="J5" i="9"/>
  <c r="D12" i="14" l="1"/>
  <c r="D14" i="14"/>
  <c r="D10" i="5"/>
  <c r="D7" i="5"/>
  <c r="D9" i="5" s="1"/>
  <c r="H8" i="3"/>
  <c r="G8" i="3"/>
  <c r="G5" i="3"/>
  <c r="N9" i="2"/>
  <c r="O9" i="2"/>
  <c r="P9" i="2"/>
  <c r="H14" i="4" l="1"/>
  <c r="H15" i="4"/>
  <c r="I15" i="10"/>
  <c r="G15" i="10"/>
  <c r="D15" i="10"/>
  <c r="I14" i="10"/>
  <c r="G14" i="10"/>
  <c r="D14" i="10"/>
  <c r="I11" i="10"/>
  <c r="I8" i="10"/>
  <c r="I5" i="10"/>
  <c r="O9" i="7"/>
  <c r="N9" i="7"/>
  <c r="H9" i="7"/>
  <c r="G9" i="7"/>
  <c r="E9" i="7"/>
  <c r="D9" i="7"/>
  <c r="S8" i="7"/>
  <c r="R8" i="7"/>
  <c r="T8" i="7" s="1"/>
  <c r="O8" i="7"/>
  <c r="N8" i="7"/>
  <c r="P8" i="7" s="1"/>
  <c r="K8" i="7"/>
  <c r="K9" i="7" s="1"/>
  <c r="J8" i="7"/>
  <c r="L8" i="7" s="1"/>
  <c r="S7" i="7"/>
  <c r="T7" i="7" s="1"/>
  <c r="R7" i="7"/>
  <c r="O7" i="7"/>
  <c r="N7" i="7"/>
  <c r="P7" i="7" s="1"/>
  <c r="K7" i="7"/>
  <c r="J7" i="7"/>
  <c r="L7" i="7" s="1"/>
  <c r="S6" i="7"/>
  <c r="S9" i="7" s="1"/>
  <c r="R6" i="7"/>
  <c r="R9" i="7" s="1"/>
  <c r="O6" i="7"/>
  <c r="P6" i="7" s="1"/>
  <c r="N6" i="7"/>
  <c r="K6" i="7"/>
  <c r="J6" i="7"/>
  <c r="L6" i="7" s="1"/>
  <c r="C7" i="6"/>
  <c r="D6" i="6"/>
  <c r="D5" i="6"/>
  <c r="D4" i="6"/>
  <c r="L9" i="2"/>
  <c r="L8" i="2"/>
  <c r="L7" i="2"/>
  <c r="L6" i="2"/>
  <c r="P9" i="7" l="1"/>
  <c r="T6" i="7"/>
  <c r="T9" i="7" s="1"/>
  <c r="J9" i="7"/>
  <c r="L9" i="7" s="1"/>
  <c r="D7" i="6"/>
  <c r="F15" i="4" l="1"/>
  <c r="C15" i="4"/>
  <c r="F14" i="4"/>
  <c r="C14" i="4"/>
  <c r="H11" i="4"/>
  <c r="H8" i="4"/>
  <c r="A8" i="4"/>
  <c r="A11" i="4" s="1"/>
  <c r="H5" i="4"/>
  <c r="A5" i="4"/>
  <c r="C8" i="3"/>
  <c r="H7" i="3"/>
  <c r="G7" i="3"/>
  <c r="G6" i="3"/>
  <c r="H6" i="3"/>
  <c r="H5" i="3"/>
  <c r="E5" i="1"/>
  <c r="K7" i="2" l="1"/>
  <c r="J6" i="2"/>
  <c r="E6" i="1"/>
  <c r="D8" i="1" l="1"/>
  <c r="E8" i="1" s="1"/>
  <c r="H9" i="2" l="1"/>
  <c r="G9" i="2"/>
  <c r="E9" i="2"/>
  <c r="S8" i="2"/>
  <c r="R8" i="2"/>
  <c r="O8" i="2"/>
  <c r="N8" i="2"/>
  <c r="K8" i="2"/>
  <c r="J8" i="2"/>
  <c r="S7" i="2"/>
  <c r="R7" i="2"/>
  <c r="O7" i="2"/>
  <c r="N7" i="2"/>
  <c r="J7" i="2"/>
  <c r="S6" i="2"/>
  <c r="R6" i="2"/>
  <c r="O6" i="2"/>
  <c r="N6" i="2"/>
  <c r="K6" i="2"/>
  <c r="C8" i="1"/>
  <c r="E7" i="1"/>
  <c r="T6" i="2" l="1"/>
  <c r="P6" i="2"/>
  <c r="T7" i="2"/>
  <c r="S9" i="2"/>
  <c r="T8" i="2"/>
  <c r="K9" i="2"/>
  <c r="P7" i="2"/>
  <c r="P8" i="2"/>
  <c r="D9" i="2"/>
  <c r="R9" i="2"/>
  <c r="J9" i="2"/>
  <c r="T9" i="2" l="1"/>
</calcChain>
</file>

<file path=xl/sharedStrings.xml><?xml version="1.0" encoding="utf-8"?>
<sst xmlns="http://schemas.openxmlformats.org/spreadsheetml/2006/main" count="225" uniqueCount="158">
  <si>
    <t>St</t>
  </si>
  <si>
    <t>株数</t>
    <rPh sb="0" eb="2">
      <t>カブスウ</t>
    </rPh>
    <phoneticPr fontId="2"/>
  </si>
  <si>
    <t>群落面積
(㎡)</t>
    <rPh sb="0" eb="4">
      <t>グンラク</t>
    </rPh>
    <phoneticPr fontId="2"/>
  </si>
  <si>
    <t>被度</t>
    <rPh sb="0" eb="2">
      <t xml:space="preserve">ヒド </t>
    </rPh>
    <phoneticPr fontId="2"/>
  </si>
  <si>
    <t>平均</t>
    <rPh sb="0" eb="2">
      <t>ヘイキn</t>
    </rPh>
    <phoneticPr fontId="2"/>
  </si>
  <si>
    <t>水深
(m)</t>
    <rPh sb="0" eb="2">
      <t>スイシn</t>
    </rPh>
    <phoneticPr fontId="2"/>
  </si>
  <si>
    <t>0.25㎡から採取された生物量</t>
  </si>
  <si>
    <t>含水率(%)</t>
    <rPh sb="0" eb="3">
      <t>ガンスイ</t>
    </rPh>
    <phoneticPr fontId="2"/>
  </si>
  <si>
    <t>1㎡あたりの生物量</t>
    <phoneticPr fontId="2"/>
  </si>
  <si>
    <t>St</t>
    <phoneticPr fontId="2"/>
  </si>
  <si>
    <t>湿重量(g)</t>
    <rPh sb="0" eb="3">
      <t>シツジュウリョウ</t>
    </rPh>
    <phoneticPr fontId="2"/>
  </si>
  <si>
    <t>乾燥重量(g)</t>
    <rPh sb="0" eb="2">
      <t>カンソウ</t>
    </rPh>
    <rPh sb="2" eb="4">
      <t>シツジュウリョウ</t>
    </rPh>
    <phoneticPr fontId="2"/>
  </si>
  <si>
    <t>湿重量(g/m2)</t>
    <rPh sb="0" eb="3">
      <t>シツジュウリョウ</t>
    </rPh>
    <phoneticPr fontId="2"/>
  </si>
  <si>
    <t>乾燥重量(g/m2)</t>
    <phoneticPr fontId="2"/>
  </si>
  <si>
    <t>地上部</t>
    <rPh sb="0" eb="3">
      <t>チジョウ</t>
    </rPh>
    <phoneticPr fontId="2"/>
  </si>
  <si>
    <t>地下部</t>
    <rPh sb="0" eb="3">
      <t xml:space="preserve">チカブ </t>
    </rPh>
    <phoneticPr fontId="2"/>
  </si>
  <si>
    <t>計</t>
    <rPh sb="0" eb="1">
      <t xml:space="preserve">ケイ </t>
    </rPh>
    <phoneticPr fontId="2"/>
  </si>
  <si>
    <t>St.</t>
    <phoneticPr fontId="2"/>
  </si>
  <si>
    <t>項目</t>
    <rPh sb="0" eb="2">
      <t>コウモク</t>
    </rPh>
    <phoneticPr fontId="2"/>
  </si>
  <si>
    <t>項目</t>
  </si>
  <si>
    <t>地上部</t>
  </si>
  <si>
    <t>地下部</t>
  </si>
  <si>
    <t>計</t>
  </si>
  <si>
    <t>4㎡から採取された生物量</t>
    <phoneticPr fontId="2"/>
  </si>
  <si>
    <t>調査地点</t>
  </si>
  <si>
    <t>水深</t>
  </si>
  <si>
    <t>(湿重量g/㎡)</t>
  </si>
  <si>
    <t>参照</t>
    <rPh sb="0" eb="2">
      <t>サンショウ</t>
    </rPh>
    <phoneticPr fontId="2"/>
  </si>
  <si>
    <t>Jブルークレジット®認証申請の手引きp41から引用</t>
    <phoneticPr fontId="2"/>
  </si>
  <si>
    <t>CO2/C=44/12</t>
    <phoneticPr fontId="2"/>
  </si>
  <si>
    <t>計算値</t>
    <rPh sb="0" eb="3">
      <t>ケイサn</t>
    </rPh>
    <phoneticPr fontId="2"/>
  </si>
  <si>
    <t>アマモ場の面積(ha)-i</t>
    <phoneticPr fontId="2"/>
  </si>
  <si>
    <t>アマモ場の年間二酸化炭素吸収量(ton-CO2/year) - j=h*i</t>
    <rPh sb="5" eb="7">
      <t>ネンカn</t>
    </rPh>
    <rPh sb="7" eb="12">
      <t>ニサn</t>
    </rPh>
    <phoneticPr fontId="2"/>
  </si>
  <si>
    <t>村岡大祐「三陸沿岸の藻場における炭素吸収量把握の試み」.水産研究・教育機構水産技術研究所,東北水研ニュースNo.65　2003　を引用</t>
    <rPh sb="11" eb="13">
      <t>インヨウ</t>
    </rPh>
    <rPh sb="65" eb="67">
      <t>インヨウ</t>
    </rPh>
    <phoneticPr fontId="2"/>
  </si>
  <si>
    <t>St.</t>
  </si>
  <si>
    <t>被度 a
(表2参照)</t>
    <rPh sb="6" eb="7">
      <t>ヒョウ</t>
    </rPh>
    <rPh sb="8" eb="10">
      <t>サンショウ</t>
    </rPh>
    <phoneticPr fontId="2"/>
  </si>
  <si>
    <t>1平米あたりの生物量(g/㎡)</t>
    <rPh sb="1" eb="3">
      <t>ヘイベイ</t>
    </rPh>
    <phoneticPr fontId="2"/>
  </si>
  <si>
    <t>生育密度</t>
  </si>
  <si>
    <t>(g/㎡)</t>
    <phoneticPr fontId="2"/>
  </si>
  <si>
    <t>湿重量 b</t>
  </si>
  <si>
    <t>乾燥重量 c</t>
  </si>
  <si>
    <t>湿重量 a*b</t>
  </si>
  <si>
    <t>乾燥重量 a*c</t>
  </si>
  <si>
    <t>平均</t>
  </si>
  <si>
    <t>湿重量(ton)</t>
  </si>
  <si>
    <t>乾燥重量(ton)</t>
  </si>
  <si>
    <t>地上部(葉)</t>
    <rPh sb="0" eb="3">
      <t>チジョウ</t>
    </rPh>
    <rPh sb="4" eb="5">
      <t xml:space="preserve">ハ </t>
    </rPh>
    <phoneticPr fontId="2"/>
  </si>
  <si>
    <t>地下部(地下茎，根)</t>
    <rPh sb="0" eb="3">
      <t>チジョウ</t>
    </rPh>
    <rPh sb="4" eb="7">
      <t>チカケイ</t>
    </rPh>
    <rPh sb="8" eb="9">
      <t xml:space="preserve">ネ </t>
    </rPh>
    <phoneticPr fontId="2"/>
  </si>
  <si>
    <t>試料量(mg)</t>
    <rPh sb="0" eb="2">
      <t>シリョウ</t>
    </rPh>
    <rPh sb="2" eb="3">
      <t>リョウ</t>
    </rPh>
    <phoneticPr fontId="5"/>
  </si>
  <si>
    <t>炭素濃度 (%)</t>
    <rPh sb="0" eb="2">
      <t>タンソ</t>
    </rPh>
    <rPh sb="2" eb="4">
      <t>ノウド</t>
    </rPh>
    <phoneticPr fontId="5"/>
  </si>
  <si>
    <t>平均濃度(%)</t>
    <rPh sb="0" eb="2">
      <t>ヘイキn</t>
    </rPh>
    <rPh sb="2" eb="4">
      <t>ノウド</t>
    </rPh>
    <phoneticPr fontId="2"/>
  </si>
  <si>
    <t>平均濃度(%)</t>
    <rPh sb="0" eb="4">
      <t>ヘイキn</t>
    </rPh>
    <phoneticPr fontId="2"/>
  </si>
  <si>
    <t>引用</t>
    <rPh sb="0" eb="2">
      <t>インヨウ</t>
    </rPh>
    <phoneticPr fontId="2"/>
  </si>
  <si>
    <t>表1</t>
    <rPh sb="0" eb="1">
      <t>ヒョウ</t>
    </rPh>
    <phoneticPr fontId="2"/>
  </si>
  <si>
    <t>添付ファイル 2.アマモ場のアマモ生物量　表4</t>
    <rPh sb="21" eb="22">
      <t>ヒョウ</t>
    </rPh>
    <phoneticPr fontId="2"/>
  </si>
  <si>
    <t>値</t>
    <rPh sb="0" eb="1">
      <t>アタイ</t>
    </rPh>
    <phoneticPr fontId="2"/>
  </si>
  <si>
    <t>添付ファイル 1.アマモ場面積参照</t>
    <rPh sb="0" eb="2">
      <t>テンプ</t>
    </rPh>
    <rPh sb="15" eb="17">
      <t>サンショウ</t>
    </rPh>
    <phoneticPr fontId="2"/>
  </si>
  <si>
    <t>群落面積(㎡)</t>
  </si>
  <si>
    <t>被度</t>
  </si>
  <si>
    <t>現存量</t>
  </si>
  <si>
    <t>緯度及び経度</t>
  </si>
  <si>
    <t>(m)</t>
  </si>
  <si>
    <t>(g/㎡)</t>
  </si>
  <si>
    <t>c-12a</t>
  </si>
  <si>
    <t>41°00.049N 140°39.216'E</t>
  </si>
  <si>
    <t>c-12b</t>
  </si>
  <si>
    <t>41°00.059N 140°39.356'E</t>
  </si>
  <si>
    <t>c-12c</t>
  </si>
  <si>
    <t>41°00.139N 140°39.796'E</t>
  </si>
  <si>
    <t>c-13a</t>
  </si>
  <si>
    <t>41°00.339N 140°39.196'E</t>
  </si>
  <si>
    <t>c-13b</t>
  </si>
  <si>
    <t>41°00.355N 140°39.317'E</t>
  </si>
  <si>
    <t>c-13c</t>
  </si>
  <si>
    <t>41°00.409N 140°39.7776'E</t>
  </si>
  <si>
    <t xml:space="preserve">St. </t>
  </si>
  <si>
    <t>水深(m)</t>
  </si>
  <si>
    <t>位置</t>
  </si>
  <si>
    <t>41°00.3657N 140°39.4861E</t>
  </si>
  <si>
    <t>41°00.1557N 140°39.5254E</t>
  </si>
  <si>
    <t>41°00.0047N 140°39.5223E</t>
  </si>
  <si>
    <t>2.2-5.0 m</t>
  </si>
  <si>
    <t>添付ファイル1</t>
    <rPh sb="0" eb="1">
      <t>テンプ</t>
    </rPh>
    <phoneticPr fontId="2"/>
  </si>
  <si>
    <t>総炭素量 (ton) e=c*d</t>
    <rPh sb="0" eb="1">
      <t>ソウタンソ</t>
    </rPh>
    <phoneticPr fontId="2"/>
  </si>
  <si>
    <t>添付ファイル2，表4</t>
    <rPh sb="0" eb="2">
      <t>テンプ</t>
    </rPh>
    <rPh sb="8" eb="9">
      <t>ヒョウ</t>
    </rPh>
    <phoneticPr fontId="2"/>
  </si>
  <si>
    <t>総二酸化炭素量(ton-CO2) = e*44/12</t>
    <rPh sb="0" eb="1">
      <t xml:space="preserve">ソウ </t>
    </rPh>
    <rPh sb="1" eb="7">
      <t xml:space="preserve">ニサンカタ </t>
    </rPh>
    <phoneticPr fontId="2"/>
  </si>
  <si>
    <t>添付ファイル2，表3</t>
    <phoneticPr fontId="2"/>
  </si>
  <si>
    <t>炭素濃度   d</t>
    <rPh sb="0" eb="2">
      <t>タンソ</t>
    </rPh>
    <rPh sb="2" eb="4">
      <t>ノウド</t>
    </rPh>
    <phoneticPr fontId="2"/>
  </si>
  <si>
    <t>1㎡あたりの生物量(湿重量 wet-g/㎡)  a</t>
    <rPh sb="0" eb="3">
      <t>ソウセイ</t>
    </rPh>
    <rPh sb="10" eb="13">
      <t>シツジュウリョウ</t>
    </rPh>
    <phoneticPr fontId="2"/>
  </si>
  <si>
    <t>含水率 b</t>
    <rPh sb="0" eb="3">
      <t>ガンスイ</t>
    </rPh>
    <phoneticPr fontId="2"/>
  </si>
  <si>
    <t>アマモ場面積（㎡）c</t>
    <rPh sb="0" eb="4">
      <t>ソウセイメンセキ</t>
    </rPh>
    <phoneticPr fontId="2"/>
  </si>
  <si>
    <t>アマモ場の総生物量(乾燥重量-ton) d=a*(1-b)*c</t>
    <rPh sb="0" eb="3">
      <t>アマモバ</t>
    </rPh>
    <rPh sb="5" eb="9">
      <t>ソウセイブテゥ</t>
    </rPh>
    <phoneticPr fontId="2"/>
  </si>
  <si>
    <t>P/B比-c</t>
    <rPh sb="0" eb="4">
      <t>セイイク</t>
    </rPh>
    <phoneticPr fontId="2"/>
  </si>
  <si>
    <t>炭素濃度(%)-d</t>
    <rPh sb="0" eb="2">
      <t>タンソ</t>
    </rPh>
    <rPh sb="2" eb="4">
      <t>ノウド</t>
    </rPh>
    <phoneticPr fontId="2"/>
  </si>
  <si>
    <t>残存率① -e</t>
    <rPh sb="0" eb="3">
      <t>ザンゾn</t>
    </rPh>
    <phoneticPr fontId="2"/>
  </si>
  <si>
    <t>残存率② -f</t>
    <rPh sb="0" eb="3">
      <t>ザンゾn</t>
    </rPh>
    <phoneticPr fontId="2"/>
  </si>
  <si>
    <t>生態系全体への変換係数 g</t>
    <rPh sb="0" eb="1">
      <t>セイタイ</t>
    </rPh>
    <rPh sb="3" eb="5">
      <t>ゼンタイ</t>
    </rPh>
    <rPh sb="7" eb="11">
      <t>ヘンカ</t>
    </rPh>
    <phoneticPr fontId="2"/>
  </si>
  <si>
    <t>二酸化炭素換算係数 -h</t>
    <rPh sb="0" eb="5">
      <t>ニサn</t>
    </rPh>
    <rPh sb="5" eb="7">
      <t>カn</t>
    </rPh>
    <rPh sb="7" eb="9">
      <t>ケイスウ</t>
    </rPh>
    <phoneticPr fontId="2"/>
  </si>
  <si>
    <t>1㎡あたりの生物量(湿重量 wet-ton/ha)  a</t>
    <rPh sb="0" eb="3">
      <t>ソウセイ</t>
    </rPh>
    <rPh sb="10" eb="13">
      <t>シツジュウリョウ</t>
    </rPh>
    <phoneticPr fontId="2"/>
  </si>
  <si>
    <t>単位面積当たり年間CO2吸収量(ton-CO2/ha/year)-i=a*(1-b)*c*(e+f)*g*h</t>
    <rPh sb="0" eb="5">
      <t>タンイ</t>
    </rPh>
    <rPh sb="7" eb="9">
      <t>ネn</t>
    </rPh>
    <rPh sb="12" eb="15">
      <t>キュウシュウリョウ</t>
    </rPh>
    <phoneticPr fontId="2"/>
  </si>
  <si>
    <t>区分</t>
  </si>
  <si>
    <t>2009年調査(Before)</t>
  </si>
  <si>
    <t>2024年に対する2009年の生育密度の比の値  a/b</t>
  </si>
  <si>
    <t>生育密度 a</t>
  </si>
  <si>
    <t>生育密度 b</t>
  </si>
  <si>
    <t>桁曳禁漁区</t>
  </si>
  <si>
    <t>アマモ場, Impact</t>
  </si>
  <si>
    <t>桁曳操業区</t>
  </si>
  <si>
    <t>対照区, Contorol</t>
  </si>
  <si>
    <t>10.0-10.2 m</t>
    <phoneticPr fontId="2"/>
  </si>
  <si>
    <t>0.35*</t>
    <phoneticPr fontId="2"/>
  </si>
  <si>
    <t>2.9-3.7 m</t>
    <phoneticPr fontId="2"/>
  </si>
  <si>
    <t>7.3-7.6 m</t>
    <phoneticPr fontId="2"/>
  </si>
  <si>
    <t>1458.3**</t>
    <phoneticPr fontId="2"/>
  </si>
  <si>
    <t>143.9***</t>
    <phoneticPr fontId="2"/>
  </si>
  <si>
    <t>調査場所</t>
    <rPh sb="0" eb="4">
      <t>チョウサ</t>
    </rPh>
    <phoneticPr fontId="2"/>
  </si>
  <si>
    <t>桁曳操業区</t>
    <rPh sb="0" eb="2">
      <t>ケタビキ</t>
    </rPh>
    <rPh sb="2" eb="5">
      <t>ソウギョウ</t>
    </rPh>
    <phoneticPr fontId="2"/>
  </si>
  <si>
    <t>桁曳禁漁区</t>
    <rPh sb="0" eb="2">
      <t>ケタビキ</t>
    </rPh>
    <rPh sb="2" eb="4">
      <t>キンリョウ</t>
    </rPh>
    <rPh sb="4" eb="5">
      <t>ソウギョウ</t>
    </rPh>
    <phoneticPr fontId="2"/>
  </si>
  <si>
    <t>*表4　桁曳禁漁区のアマモ群落地上部の平均現存量を引用，　**添付ファイル2，表3の1㎡あたり地上部の湿重量を引用，***表3の1㎡あたり地上部の湿重量を引用</t>
    <rPh sb="4" eb="9">
      <t>ケタビキ</t>
    </rPh>
    <rPh sb="13" eb="18">
      <t>グンラク</t>
    </rPh>
    <phoneticPr fontId="2"/>
  </si>
  <si>
    <t>値</t>
  </si>
  <si>
    <t>参照</t>
  </si>
  <si>
    <t>計算値</t>
  </si>
  <si>
    <t>P/B比 -d</t>
  </si>
  <si>
    <t>村岡大祐「三陸沿岸の藻場における炭素吸収量把握の試み」.水産研究・教育機構水産技術研究所,東北水研ニュースNo.65　2003　を引用</t>
  </si>
  <si>
    <t>残存率① -f</t>
  </si>
  <si>
    <t>Jブルークレジット®認証申請の手引きp41から引用</t>
  </si>
  <si>
    <t>残存率② -g</t>
  </si>
  <si>
    <t>生態系全体への変換係数 -h</t>
  </si>
  <si>
    <t>二酸化炭素換算係数 -i</t>
  </si>
  <si>
    <t>CO2/C=44/12</t>
  </si>
  <si>
    <t>単位面積当たり年間CO2吸収量(ton-CO2/ha/year)-j=a*b*c*(d+e)*f*g</t>
  </si>
  <si>
    <t>アマモ場の面積(ha)-k</t>
  </si>
  <si>
    <t>添付ファイル1.  アマモ場面積に記載</t>
  </si>
  <si>
    <t>アマモ場の年間二酸化炭素吸収量(ton-CO2/year) - j*k</t>
  </si>
  <si>
    <t>表3　参照</t>
    <rPh sb="3" eb="5">
      <t>サンショウ</t>
    </rPh>
    <phoneticPr fontId="2"/>
  </si>
  <si>
    <t>2009年の桁曳禁漁区のアマモ生育密度 dry-g/㎡ -b</t>
    <rPh sb="6" eb="11">
      <t>ケタ</t>
    </rPh>
    <phoneticPr fontId="2"/>
  </si>
  <si>
    <t>炭素濃度 -e</t>
    <phoneticPr fontId="2"/>
  </si>
  <si>
    <t>表6 参照</t>
    <rPh sb="0" eb="1">
      <t>ヒョウ</t>
    </rPh>
    <rPh sb="3" eb="5">
      <t>サンショウ</t>
    </rPh>
    <phoneticPr fontId="2"/>
  </si>
  <si>
    <t>調査時期</t>
    <rPh sb="0" eb="2">
      <t>チョウサジク</t>
    </rPh>
    <rPh sb="2" eb="4">
      <t xml:space="preserve">ジキ </t>
    </rPh>
    <phoneticPr fontId="2"/>
  </si>
  <si>
    <t>地上部の生育密度（湿重量，wet-g/㎡）-a</t>
    <rPh sb="0" eb="3">
      <t>チジョウ</t>
    </rPh>
    <rPh sb="4" eb="8">
      <t>セイイク</t>
    </rPh>
    <rPh sb="9" eb="12">
      <t>シツジュウリョウ</t>
    </rPh>
    <phoneticPr fontId="2"/>
  </si>
  <si>
    <t>総生育密度（湿重量，wet-g/㎡）-b</t>
    <rPh sb="0" eb="1">
      <t xml:space="preserve">ソウ </t>
    </rPh>
    <rPh sb="1" eb="5">
      <t>セイイク</t>
    </rPh>
    <rPh sb="6" eb="9">
      <t>シツジュウリョウ</t>
    </rPh>
    <phoneticPr fontId="2"/>
  </si>
  <si>
    <t>地上部の割合 -c=a/(a+b)</t>
    <rPh sb="0" eb="2">
      <t>チジョウ</t>
    </rPh>
    <phoneticPr fontId="2"/>
  </si>
  <si>
    <t>含水率 -d</t>
    <rPh sb="0" eb="3">
      <t>ガンスイ</t>
    </rPh>
    <phoneticPr fontId="2"/>
  </si>
  <si>
    <t>2009年</t>
    <rPh sb="4" eb="5">
      <t>ネn</t>
    </rPh>
    <phoneticPr fontId="2"/>
  </si>
  <si>
    <t>地上部の生育密度（湿重量，wet-g/㎡）-e</t>
    <rPh sb="0" eb="3">
      <t>チジョウ</t>
    </rPh>
    <rPh sb="4" eb="8">
      <t>セイイク</t>
    </rPh>
    <rPh sb="9" eb="12">
      <t>シツジュウリョウ</t>
    </rPh>
    <phoneticPr fontId="2"/>
  </si>
  <si>
    <t>総生育密度（湿重量，wet-g/㎡）-f=e*/c</t>
    <rPh sb="0" eb="1">
      <t xml:space="preserve">ソウ </t>
    </rPh>
    <rPh sb="1" eb="5">
      <t>セイイク</t>
    </rPh>
    <rPh sb="6" eb="9">
      <t>シツジュウリョウ</t>
    </rPh>
    <phoneticPr fontId="2"/>
  </si>
  <si>
    <t>計算値</t>
    <rPh sb="0" eb="1">
      <t>ケイサn</t>
    </rPh>
    <phoneticPr fontId="2"/>
  </si>
  <si>
    <t>生育密度（乾燥重量，dry-g/㎡）-f=e*(1-d)</t>
    <rPh sb="0" eb="4">
      <t>セイイク</t>
    </rPh>
    <rPh sb="5" eb="9">
      <t>カンソウ</t>
    </rPh>
    <phoneticPr fontId="2"/>
  </si>
  <si>
    <t>表5（添付ファイル2，表3）　引用</t>
    <rPh sb="0" eb="1">
      <t>ヒョウ</t>
    </rPh>
    <rPh sb="7" eb="8">
      <t>ネn</t>
    </rPh>
    <rPh sb="15" eb="17">
      <t>インヨウ</t>
    </rPh>
    <phoneticPr fontId="2"/>
  </si>
  <si>
    <t>添付ファイル2，表3　引用</t>
    <rPh sb="11" eb="13">
      <t>インヨウ</t>
    </rPh>
    <phoneticPr fontId="2"/>
  </si>
  <si>
    <t>添付ファイル2，表3 地上部と地下部の計の値を引用</t>
    <rPh sb="11" eb="14">
      <t>チジョウ</t>
    </rPh>
    <rPh sb="19" eb="20">
      <t>KEI</t>
    </rPh>
    <phoneticPr fontId="2"/>
  </si>
  <si>
    <t>表5,　6桁曳禁漁区のアマモ群落地上部の平均現存量を引用</t>
    <phoneticPr fontId="2"/>
  </si>
  <si>
    <t>計算値</t>
    <phoneticPr fontId="2"/>
  </si>
  <si>
    <t>表7　2009年の生育密度（乾燥重量）を参照</t>
    <rPh sb="7" eb="8">
      <t>ネn</t>
    </rPh>
    <rPh sb="14" eb="18">
      <t>カンソウジュウ</t>
    </rPh>
    <rPh sb="20" eb="22">
      <t>サンショウ</t>
    </rPh>
    <phoneticPr fontId="2"/>
  </si>
  <si>
    <t>ベースラインにおけるアマモ生育密度  dry-g/㎡-c=a+b</t>
    <phoneticPr fontId="2"/>
  </si>
  <si>
    <t>2025年</t>
    <rPh sb="4" eb="5">
      <t>ネn</t>
    </rPh>
    <phoneticPr fontId="2"/>
  </si>
  <si>
    <t>2025年の桁曳操業区（対照区）のアマモ生育密度 dry-g/㎡ -a</t>
    <phoneticPr fontId="2"/>
  </si>
  <si>
    <t>2025年調査(After)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</si>
</sst>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0.000"/>
    <numFmt numFmtId="177" formatCode="0.0"/>
    <numFmt numFmtId="178" formatCode="0.0%"/>
    <numFmt numFmtId="179" formatCode="0.00_);\(0.00\)"/>
    <numFmt numFmtId="180" formatCode="#,##0.000;[Red]\-#,##0.000"/>
    <numFmt numFmtId="181" formatCode="0.0000"/>
    <numFmt numFmtId="182" formatCode="#,##0.0000;[Red]\-#,##0.0000"/>
    <numFmt numFmtId="183" formatCode="0.0_);[Red]\(0.0\)"/>
    <numFmt numFmtId="184" formatCode="0_ "/>
    <numFmt numFmtId="185" formatCode="0.00_ "/>
    <numFmt numFmtId="186" formatCode="0.00_);[Red]\(0.00\)"/>
    <numFmt numFmtId="187" formatCode="0.0_ "/>
    <numFmt numFmtId="188" formatCode="0.000%"/>
  </numFmts>
  <fonts count="1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rgb="FF000000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.5"/>
      <color rgb="FF000000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1"/>
      <name val="Arial"/>
      <family val="2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Arial"/>
      <family val="2"/>
    </font>
    <font>
      <sz val="11"/>
      <color rgb="FF000000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2" applyNumberFormat="1" applyFont="1" applyFill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0" fontId="0" fillId="0" borderId="6" xfId="2" applyNumberFormat="1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177" fontId="0" fillId="0" borderId="0" xfId="0" applyNumberFormat="1" applyAlignment="1">
      <alignment horizontal="center" vertical="center"/>
    </xf>
    <xf numFmtId="178" fontId="0" fillId="0" borderId="0" xfId="2" applyNumberFormat="1" applyFont="1" applyFill="1" applyAlignment="1">
      <alignment horizontal="center" vertical="center"/>
    </xf>
    <xf numFmtId="177" fontId="0" fillId="0" borderId="6" xfId="1" applyNumberFormat="1" applyFont="1" applyFill="1" applyBorder="1" applyAlignment="1">
      <alignment horizontal="center" vertical="center"/>
    </xf>
    <xf numFmtId="179" fontId="4" fillId="0" borderId="5" xfId="0" applyNumberFormat="1" applyFont="1" applyBorder="1" applyAlignment="1">
      <alignment horizontal="center" vertical="center"/>
    </xf>
    <xf numFmtId="0" fontId="0" fillId="0" borderId="4" xfId="0" applyBorder="1">
      <alignment vertical="center"/>
    </xf>
    <xf numFmtId="180" fontId="0" fillId="0" borderId="6" xfId="1" applyNumberFormat="1" applyFont="1" applyFill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 wrapText="1" readingOrder="1"/>
    </xf>
    <xf numFmtId="0" fontId="6" fillId="0" borderId="3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2" xfId="0" applyFont="1" applyBorder="1" applyAlignment="1">
      <alignment horizontal="center" vertical="center" wrapText="1" readingOrder="1"/>
    </xf>
    <xf numFmtId="176" fontId="6" fillId="0" borderId="3" xfId="0" applyNumberFormat="1" applyFont="1" applyBorder="1" applyAlignment="1">
      <alignment horizontal="center" vertical="center" wrapText="1" readingOrder="1"/>
    </xf>
    <xf numFmtId="177" fontId="7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182" fontId="7" fillId="0" borderId="6" xfId="1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 readingOrder="1"/>
    </xf>
    <xf numFmtId="178" fontId="0" fillId="0" borderId="6" xfId="2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 readingOrder="1"/>
    </xf>
    <xf numFmtId="0" fontId="8" fillId="0" borderId="3" xfId="0" applyFont="1" applyBorder="1" applyAlignment="1">
      <alignment horizontal="center" vertical="center" wrapText="1" readingOrder="1"/>
    </xf>
    <xf numFmtId="0" fontId="0" fillId="0" borderId="6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 readingOrder="1"/>
    </xf>
    <xf numFmtId="0" fontId="9" fillId="0" borderId="0" xfId="0" applyFont="1" applyAlignment="1">
      <alignment horizontal="center" vertical="center" wrapText="1" readingOrder="1"/>
    </xf>
    <xf numFmtId="0" fontId="9" fillId="0" borderId="3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 wrapText="1" readingOrder="1"/>
    </xf>
    <xf numFmtId="10" fontId="9" fillId="0" borderId="2" xfId="0" applyNumberFormat="1" applyFont="1" applyBorder="1" applyAlignment="1">
      <alignment horizontal="center" vertical="center" wrapText="1" readingOrder="1"/>
    </xf>
    <xf numFmtId="177" fontId="9" fillId="0" borderId="2" xfId="0" applyNumberFormat="1" applyFont="1" applyBorder="1" applyAlignment="1">
      <alignment horizontal="center" vertical="center" wrapText="1" readingOrder="1"/>
    </xf>
    <xf numFmtId="0" fontId="10" fillId="0" borderId="2" xfId="0" applyFont="1" applyBorder="1" applyAlignment="1">
      <alignment horizontal="center" vertical="center" wrapText="1"/>
    </xf>
    <xf numFmtId="178" fontId="9" fillId="0" borderId="0" xfId="0" applyNumberFormat="1" applyFont="1" applyAlignment="1">
      <alignment horizontal="center" vertical="center" wrapText="1" readingOrder="1"/>
    </xf>
    <xf numFmtId="177" fontId="9" fillId="0" borderId="0" xfId="0" applyNumberFormat="1" applyFont="1" applyAlignment="1">
      <alignment horizontal="center" vertical="center" wrapText="1" readingOrder="1"/>
    </xf>
    <xf numFmtId="0" fontId="10" fillId="0" borderId="0" xfId="0" applyFont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 readingOrder="1"/>
    </xf>
    <xf numFmtId="183" fontId="9" fillId="0" borderId="1" xfId="1" applyNumberFormat="1" applyFont="1" applyBorder="1" applyAlignment="1">
      <alignment horizontal="center" vertical="center" wrapText="1" readingOrder="1"/>
    </xf>
    <xf numFmtId="183" fontId="9" fillId="0" borderId="1" xfId="0" applyNumberFormat="1" applyFont="1" applyBorder="1" applyAlignment="1">
      <alignment horizontal="center" vertical="center" wrapText="1" readingOrder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85" fontId="4" fillId="0" borderId="0" xfId="0" applyNumberFormat="1" applyFont="1" applyAlignment="1">
      <alignment horizontal="center" vertical="center"/>
    </xf>
    <xf numFmtId="186" fontId="4" fillId="0" borderId="0" xfId="0" applyNumberFormat="1" applyFont="1" applyAlignment="1">
      <alignment horizontal="center" vertical="center"/>
    </xf>
    <xf numFmtId="186" fontId="4" fillId="0" borderId="4" xfId="0" applyNumberFormat="1" applyFont="1" applyBorder="1" applyAlignment="1">
      <alignment horizontal="center" vertical="center"/>
    </xf>
    <xf numFmtId="186" fontId="4" fillId="0" borderId="5" xfId="0" applyNumberFormat="1" applyFont="1" applyBorder="1" applyAlignment="1">
      <alignment horizontal="center" vertical="center"/>
    </xf>
    <xf numFmtId="185" fontId="4" fillId="0" borderId="4" xfId="0" applyNumberFormat="1" applyFont="1" applyBorder="1" applyAlignment="1">
      <alignment horizontal="center" vertical="center"/>
    </xf>
    <xf numFmtId="185" fontId="4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readingOrder="1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2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181" fontId="11" fillId="0" borderId="6" xfId="0" applyNumberFormat="1" applyFont="1" applyBorder="1" applyAlignment="1">
      <alignment horizontal="center" vertical="center"/>
    </xf>
    <xf numFmtId="182" fontId="11" fillId="0" borderId="6" xfId="0" applyNumberFormat="1" applyFont="1" applyBorder="1" applyAlignment="1">
      <alignment horizontal="center" vertical="center"/>
    </xf>
    <xf numFmtId="181" fontId="12" fillId="0" borderId="6" xfId="0" applyNumberFormat="1" applyFont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 readingOrder="1"/>
    </xf>
    <xf numFmtId="10" fontId="6" fillId="0" borderId="0" xfId="2" applyNumberFormat="1" applyFont="1" applyAlignment="1">
      <alignment horizontal="center" vertical="center" wrapText="1" readingOrder="1"/>
    </xf>
    <xf numFmtId="176" fontId="6" fillId="0" borderId="1" xfId="0" applyNumberFormat="1" applyFont="1" applyBorder="1" applyAlignment="1">
      <alignment horizontal="center" vertical="center" wrapText="1" readingOrder="1"/>
    </xf>
    <xf numFmtId="10" fontId="6" fillId="0" borderId="1" xfId="2" applyNumberFormat="1" applyFont="1" applyBorder="1" applyAlignment="1">
      <alignment horizontal="center" vertical="center" wrapText="1" readingOrder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87" fontId="0" fillId="0" borderId="0" xfId="0" applyNumberFormat="1">
      <alignment vertical="center"/>
    </xf>
    <xf numFmtId="10" fontId="0" fillId="0" borderId="0" xfId="2" applyNumberFormat="1" applyFont="1" applyAlignment="1">
      <alignment horizontal="center" vertical="center"/>
    </xf>
    <xf numFmtId="10" fontId="0" fillId="0" borderId="0" xfId="2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9" fillId="0" borderId="0" xfId="0" applyFont="1" applyAlignment="1">
      <alignment horizontal="left" vertical="center" wrapText="1" readingOrder="1"/>
    </xf>
    <xf numFmtId="0" fontId="13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 readingOrder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 readingOrder="1"/>
    </xf>
    <xf numFmtId="9" fontId="6" fillId="0" borderId="3" xfId="0" applyNumberFormat="1" applyFont="1" applyBorder="1" applyAlignment="1">
      <alignment horizontal="center" vertical="center" wrapText="1" readingOrder="1"/>
    </xf>
    <xf numFmtId="188" fontId="6" fillId="0" borderId="2" xfId="2" applyNumberFormat="1" applyFont="1" applyBorder="1" applyAlignment="1">
      <alignment horizontal="center" vertical="center" wrapText="1" readingOrder="1"/>
    </xf>
    <xf numFmtId="0" fontId="9" fillId="0" borderId="5" xfId="0" applyFont="1" applyBorder="1" applyAlignment="1">
      <alignment horizontal="center" vertical="center" wrapText="1" readingOrder="1"/>
    </xf>
    <xf numFmtId="2" fontId="9" fillId="0" borderId="5" xfId="0" applyNumberFormat="1" applyFont="1" applyBorder="1" applyAlignment="1">
      <alignment horizontal="center" vertical="center" wrapText="1" readingOrder="1"/>
    </xf>
    <xf numFmtId="0" fontId="9" fillId="0" borderId="4" xfId="0" applyFont="1" applyBorder="1" applyAlignment="1">
      <alignment horizontal="center" vertical="center" wrapText="1" readingOrder="1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177" fontId="14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/>
    </xf>
    <xf numFmtId="176" fontId="14" fillId="0" borderId="5" xfId="0" applyNumberFormat="1" applyFont="1" applyBorder="1" applyAlignment="1">
      <alignment horizontal="center" vertical="center"/>
    </xf>
    <xf numFmtId="181" fontId="14" fillId="0" borderId="5" xfId="0" applyNumberFormat="1" applyFont="1" applyBorder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10" fontId="14" fillId="0" borderId="5" xfId="2" applyNumberFormat="1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2" fontId="0" fillId="0" borderId="0" xfId="0" applyNumberFormat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2" xfId="0" applyFont="1" applyBorder="1" applyAlignment="1">
      <alignment horizontal="center" vertical="center" wrapText="1" readingOrder="1"/>
    </xf>
    <xf numFmtId="0" fontId="9" fillId="0" borderId="0" xfId="0" applyFont="1" applyAlignment="1">
      <alignment horizontal="center" vertical="center" wrapText="1" readingOrder="1"/>
    </xf>
    <xf numFmtId="0" fontId="9" fillId="0" borderId="3" xfId="0" applyFont="1" applyBorder="1" applyAlignment="1">
      <alignment horizontal="center" vertical="center" wrapText="1" readingOrder="1"/>
    </xf>
    <xf numFmtId="0" fontId="3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86" fontId="4" fillId="0" borderId="4" xfId="0" applyNumberFormat="1" applyFont="1" applyBorder="1" applyAlignment="1">
      <alignment horizontal="center" vertical="center"/>
    </xf>
    <xf numFmtId="186" fontId="4" fillId="0" borderId="0" xfId="0" applyNumberFormat="1" applyFont="1" applyAlignment="1">
      <alignment horizontal="center" vertical="center"/>
    </xf>
    <xf numFmtId="186" fontId="4" fillId="0" borderId="5" xfId="0" applyNumberFormat="1" applyFont="1" applyBorder="1" applyAlignment="1">
      <alignment horizontal="center" vertical="center"/>
    </xf>
    <xf numFmtId="184" fontId="4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 wrapText="1"/>
    </xf>
    <xf numFmtId="0" fontId="11" fillId="0" borderId="6" xfId="0" applyFont="1" applyBorder="1">
      <alignment vertical="center"/>
    </xf>
    <xf numFmtId="0" fontId="9" fillId="0" borderId="5" xfId="0" applyFont="1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center" vertical="center" wrapText="1" readingOrder="1"/>
    </xf>
    <xf numFmtId="0" fontId="6" fillId="0" borderId="3" xfId="0" applyFont="1" applyBorder="1" applyAlignment="1">
      <alignment horizontal="center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2" xfId="0" applyFont="1" applyBorder="1" applyAlignment="1">
      <alignment horizontal="left" vertical="center" wrapText="1" readingOrder="1"/>
    </xf>
    <xf numFmtId="0" fontId="6" fillId="0" borderId="0" xfId="0" applyFont="1" applyAlignment="1">
      <alignment horizontal="left" vertical="center" wrapText="1" readingOrder="1"/>
    </xf>
    <xf numFmtId="0" fontId="6" fillId="0" borderId="3" xfId="0" applyFont="1" applyBorder="1" applyAlignment="1">
      <alignment horizontal="left" vertical="center" wrapText="1" readingOrder="1"/>
    </xf>
    <xf numFmtId="0" fontId="14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/>
    </xf>
    <xf numFmtId="176" fontId="15" fillId="0" borderId="5" xfId="0" applyNumberFormat="1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98B3F-7DB6-CE4B-95C7-4ACCE311AEC3}">
  <dimension ref="B3:E8"/>
  <sheetViews>
    <sheetView workbookViewId="0">
      <selection activeCell="E6" sqref="E6"/>
    </sheetView>
  </sheetViews>
  <sheetFormatPr baseColWidth="10" defaultRowHeight="20"/>
  <sheetData>
    <row r="3" spans="2:5">
      <c r="B3" s="104" t="s">
        <v>0</v>
      </c>
      <c r="C3" s="106" t="s">
        <v>1</v>
      </c>
      <c r="D3" s="108" t="s">
        <v>2</v>
      </c>
      <c r="E3" s="106" t="s">
        <v>3</v>
      </c>
    </row>
    <row r="4" spans="2:5">
      <c r="B4" s="105"/>
      <c r="C4" s="107"/>
      <c r="D4" s="107"/>
      <c r="E4" s="107"/>
    </row>
    <row r="5" spans="2:5">
      <c r="B5" s="3">
        <v>1</v>
      </c>
      <c r="C5" s="20">
        <v>1</v>
      </c>
      <c r="D5" s="20">
        <v>3.5819999999999999</v>
      </c>
      <c r="E5" s="4">
        <f>ROUNDDOWN(D5/4,4)</f>
        <v>0.89549999999999996</v>
      </c>
    </row>
    <row r="6" spans="2:5">
      <c r="B6" s="3">
        <v>2</v>
      </c>
      <c r="C6" s="17">
        <v>2</v>
      </c>
      <c r="D6" s="26">
        <v>4</v>
      </c>
      <c r="E6" s="10">
        <f>ROUNDDOWN(D6/4,4)</f>
        <v>1</v>
      </c>
    </row>
    <row r="7" spans="2:5">
      <c r="B7" s="3">
        <v>3</v>
      </c>
      <c r="C7" s="18">
        <v>3</v>
      </c>
      <c r="D7" s="21">
        <v>4</v>
      </c>
      <c r="E7" s="10">
        <f>ROUNDDOWN(D7/4,4)</f>
        <v>1</v>
      </c>
    </row>
    <row r="8" spans="2:5">
      <c r="B8" s="5" t="s">
        <v>4</v>
      </c>
      <c r="C8" s="6">
        <f>AVERAGE(C5:C7)</f>
        <v>2</v>
      </c>
      <c r="D8" s="14">
        <f>ROUNDDOWN(AVERAGE(D5:D7),4)</f>
        <v>3.8605999999999998</v>
      </c>
      <c r="E8" s="27">
        <f>ROUNDDOWN(D8/4,4)</f>
        <v>0.96509999999999996</v>
      </c>
    </row>
  </sheetData>
  <mergeCells count="4">
    <mergeCell ref="B3:B4"/>
    <mergeCell ref="C3:C4"/>
    <mergeCell ref="D3:D4"/>
    <mergeCell ref="E3:E4"/>
  </mergeCells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97F0C-2B33-4A45-B299-4FCCAED34C0B}">
  <dimension ref="B3:T9"/>
  <sheetViews>
    <sheetView workbookViewId="0">
      <selection activeCell="B9" sqref="B9:C9"/>
    </sheetView>
  </sheetViews>
  <sheetFormatPr baseColWidth="10" defaultColWidth="9.28515625" defaultRowHeight="20"/>
  <cols>
    <col min="2" max="3" width="7.140625" customWidth="1"/>
    <col min="6" max="6" width="1.140625" customWidth="1"/>
    <col min="9" max="9" width="1.28515625" customWidth="1"/>
    <col min="13" max="13" width="1.140625" customWidth="1"/>
    <col min="17" max="17" width="1.28515625" customWidth="1"/>
  </cols>
  <sheetData>
    <row r="3" spans="2:20">
      <c r="B3" s="106" t="s">
        <v>9</v>
      </c>
      <c r="C3" s="108" t="s">
        <v>5</v>
      </c>
      <c r="D3" s="109" t="s">
        <v>23</v>
      </c>
      <c r="E3" s="109"/>
      <c r="F3" s="109"/>
      <c r="G3" s="109"/>
      <c r="H3" s="109"/>
      <c r="I3" s="1"/>
      <c r="J3" s="106" t="s">
        <v>7</v>
      </c>
      <c r="K3" s="106"/>
      <c r="L3" s="106"/>
      <c r="M3" s="1"/>
      <c r="N3" s="109" t="s">
        <v>8</v>
      </c>
      <c r="O3" s="109"/>
      <c r="P3" s="109"/>
      <c r="Q3" s="109"/>
      <c r="R3" s="109"/>
      <c r="S3" s="109"/>
      <c r="T3" s="109"/>
    </row>
    <row r="4" spans="2:20">
      <c r="B4" s="112"/>
      <c r="C4" s="110"/>
      <c r="D4" s="109" t="s">
        <v>10</v>
      </c>
      <c r="E4" s="109"/>
      <c r="F4" s="3"/>
      <c r="G4" s="109" t="s">
        <v>11</v>
      </c>
      <c r="H4" s="109"/>
      <c r="I4" s="3"/>
      <c r="J4" s="107"/>
      <c r="K4" s="107"/>
      <c r="L4" s="107"/>
      <c r="M4" s="3"/>
      <c r="N4" s="109" t="s">
        <v>12</v>
      </c>
      <c r="O4" s="109"/>
      <c r="P4" s="109"/>
      <c r="Q4" s="3"/>
      <c r="R4" s="109" t="s">
        <v>13</v>
      </c>
      <c r="S4" s="109"/>
      <c r="T4" s="109"/>
    </row>
    <row r="5" spans="2:20">
      <c r="B5" s="107"/>
      <c r="C5" s="111"/>
      <c r="D5" s="2" t="s">
        <v>14</v>
      </c>
      <c r="E5" s="2" t="s">
        <v>15</v>
      </c>
      <c r="F5" s="2"/>
      <c r="G5" s="2" t="s">
        <v>14</v>
      </c>
      <c r="H5" s="2" t="s">
        <v>15</v>
      </c>
      <c r="I5" s="2"/>
      <c r="J5" s="2" t="s">
        <v>14</v>
      </c>
      <c r="K5" s="2" t="s">
        <v>15</v>
      </c>
      <c r="L5" s="2" t="s">
        <v>4</v>
      </c>
      <c r="M5" s="2"/>
      <c r="N5" s="2" t="s">
        <v>14</v>
      </c>
      <c r="O5" s="2" t="s">
        <v>15</v>
      </c>
      <c r="P5" s="2" t="s">
        <v>16</v>
      </c>
      <c r="Q5" s="2"/>
      <c r="R5" s="2" t="s">
        <v>14</v>
      </c>
      <c r="S5" s="2" t="s">
        <v>15</v>
      </c>
      <c r="T5" s="2" t="s">
        <v>16</v>
      </c>
    </row>
    <row r="6" spans="2:20">
      <c r="B6" s="3">
        <v>4</v>
      </c>
      <c r="C6" s="15">
        <v>7.3</v>
      </c>
      <c r="D6" s="15">
        <v>883</v>
      </c>
      <c r="E6" s="15">
        <v>440</v>
      </c>
      <c r="F6" s="15"/>
      <c r="G6" s="1">
        <v>236.3</v>
      </c>
      <c r="H6" s="1">
        <v>44.2</v>
      </c>
      <c r="I6" s="9"/>
      <c r="J6" s="4">
        <f>ROUNDDOWN(1-(G6/D6),5)</f>
        <v>0.73238000000000003</v>
      </c>
      <c r="K6" s="4">
        <f t="shared" ref="K6:K8" si="0">ROUNDDOWN(1-(H6/E6),5)</f>
        <v>0.89954000000000001</v>
      </c>
      <c r="L6" s="4">
        <f>ROUNDDOWN(((J6+K6)/2),4)</f>
        <v>0.81589999999999996</v>
      </c>
      <c r="M6" s="9"/>
      <c r="N6" s="9">
        <f>ROUNDDOWN(D6/4,2)</f>
        <v>220.75</v>
      </c>
      <c r="O6" s="9">
        <f>ROUNDDOWN(E6/4,2)</f>
        <v>110</v>
      </c>
      <c r="P6" s="9">
        <f>N6+O6</f>
        <v>330.75</v>
      </c>
      <c r="Q6" s="9"/>
      <c r="R6" s="9">
        <f>ROUNDDOWN(G6/4,2)</f>
        <v>59.07</v>
      </c>
      <c r="S6" s="9">
        <f>ROUNDDOWN(H6/4,2)</f>
        <v>11.05</v>
      </c>
      <c r="T6" s="9">
        <f>R6+S6</f>
        <v>70.12</v>
      </c>
    </row>
    <row r="7" spans="2:20">
      <c r="B7" s="3">
        <v>5</v>
      </c>
      <c r="C7" s="9">
        <v>7.6</v>
      </c>
      <c r="D7" s="3">
        <v>526.9</v>
      </c>
      <c r="E7" s="3">
        <v>199.7</v>
      </c>
      <c r="F7" s="9"/>
      <c r="G7" s="3">
        <v>69.3</v>
      </c>
      <c r="H7" s="3">
        <v>20.2</v>
      </c>
      <c r="I7" s="9"/>
      <c r="J7" s="4">
        <f t="shared" ref="J7:J8" si="1">ROUNDDOWN(1-(G7/D7),5)</f>
        <v>0.86846999999999996</v>
      </c>
      <c r="K7" s="4">
        <f t="shared" si="0"/>
        <v>0.89883999999999997</v>
      </c>
      <c r="L7" s="4">
        <f t="shared" ref="L7:L9" si="2">ROUNDDOWN(((J7+K7)/2),4)</f>
        <v>0.88360000000000005</v>
      </c>
      <c r="M7" s="9"/>
      <c r="N7" s="9">
        <f t="shared" ref="N7:O8" si="3">ROUNDDOWN(D7/4,2)</f>
        <v>131.72</v>
      </c>
      <c r="O7" s="9">
        <f t="shared" si="3"/>
        <v>49.92</v>
      </c>
      <c r="P7" s="9">
        <f>N7+O7</f>
        <v>181.64</v>
      </c>
      <c r="Q7" s="9"/>
      <c r="R7" s="9">
        <f t="shared" ref="R7:S8" si="4">ROUNDDOWN(G7/4,2)</f>
        <v>17.32</v>
      </c>
      <c r="S7" s="9">
        <f t="shared" si="4"/>
        <v>5.05</v>
      </c>
      <c r="T7" s="9">
        <f>R7+S7</f>
        <v>22.37</v>
      </c>
    </row>
    <row r="8" spans="2:20">
      <c r="B8" s="3">
        <v>6</v>
      </c>
      <c r="C8" s="16">
        <v>7.5</v>
      </c>
      <c r="D8" s="2">
        <v>317.5</v>
      </c>
      <c r="E8" s="2">
        <v>181.5</v>
      </c>
      <c r="F8" s="16"/>
      <c r="G8" s="2">
        <v>49.1</v>
      </c>
      <c r="H8" s="2">
        <v>13.6</v>
      </c>
      <c r="I8" s="9"/>
      <c r="J8" s="4">
        <f t="shared" si="1"/>
        <v>0.84535000000000005</v>
      </c>
      <c r="K8" s="4">
        <f t="shared" si="0"/>
        <v>0.92505999999999999</v>
      </c>
      <c r="L8" s="4">
        <f t="shared" si="2"/>
        <v>0.88519999999999999</v>
      </c>
      <c r="M8" s="9"/>
      <c r="N8" s="9">
        <f t="shared" si="3"/>
        <v>79.37</v>
      </c>
      <c r="O8" s="9">
        <f t="shared" si="3"/>
        <v>45.37</v>
      </c>
      <c r="P8" s="9">
        <f>N8+O8</f>
        <v>124.74000000000001</v>
      </c>
      <c r="Q8" s="9"/>
      <c r="R8" s="9">
        <f t="shared" si="4"/>
        <v>12.27</v>
      </c>
      <c r="S8" s="9">
        <f t="shared" si="4"/>
        <v>3.4</v>
      </c>
      <c r="T8" s="9">
        <f>R8+S8</f>
        <v>15.67</v>
      </c>
    </row>
    <row r="9" spans="2:20">
      <c r="B9" s="109" t="s">
        <v>4</v>
      </c>
      <c r="C9" s="109"/>
      <c r="D9" s="5">
        <f>AVERAGE(D6:D8)</f>
        <v>575.80000000000007</v>
      </c>
      <c r="E9" s="5">
        <f>AVERAGE(E6:E8)</f>
        <v>273.73333333333335</v>
      </c>
      <c r="F9" s="5"/>
      <c r="G9" s="5">
        <f>AVERAGE(G6:G8)</f>
        <v>118.23333333333335</v>
      </c>
      <c r="H9" s="5">
        <f>AVERAGE(H6:H8)</f>
        <v>26</v>
      </c>
      <c r="I9" s="5"/>
      <c r="J9" s="7">
        <f>ROUNDDOWN(AVERAGE(J6:J8),4)</f>
        <v>0.81540000000000001</v>
      </c>
      <c r="K9" s="7">
        <f>ROUNDDOWN(AVERAGE(K6:K8),3)</f>
        <v>0.90700000000000003</v>
      </c>
      <c r="L9" s="7">
        <f t="shared" si="2"/>
        <v>0.86119999999999997</v>
      </c>
      <c r="M9" s="5"/>
      <c r="N9" s="5">
        <f>AVERAGE(N6:N8)</f>
        <v>143.94666666666669</v>
      </c>
      <c r="O9" s="5">
        <f>AVERAGE(O6:O8)</f>
        <v>68.430000000000007</v>
      </c>
      <c r="P9" s="11">
        <f>ROUNDDOWN(AVERAGE(P6:P8),1)</f>
        <v>212.3</v>
      </c>
      <c r="Q9" s="5"/>
      <c r="R9" s="5">
        <f>AVERAGE(R6:R8)</f>
        <v>29.553333333333331</v>
      </c>
      <c r="S9" s="5">
        <f>AVERAGE(S6:S8)</f>
        <v>6.5</v>
      </c>
      <c r="T9" s="11">
        <f>ROUNDDOWN(AVERAGE(T6:T8),1)</f>
        <v>36</v>
      </c>
    </row>
  </sheetData>
  <mergeCells count="10">
    <mergeCell ref="B3:B5"/>
    <mergeCell ref="C3:C5"/>
    <mergeCell ref="B9:C9"/>
    <mergeCell ref="N3:T3"/>
    <mergeCell ref="N4:P4"/>
    <mergeCell ref="R4:T4"/>
    <mergeCell ref="D3:H3"/>
    <mergeCell ref="J3:L4"/>
    <mergeCell ref="D4:E4"/>
    <mergeCell ref="G4:H4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6D4F8-CFAE-D94C-AAE8-A1B31389D2CC}">
  <dimension ref="B2:F11"/>
  <sheetViews>
    <sheetView workbookViewId="0">
      <selection activeCell="F10" sqref="B2:F11"/>
    </sheetView>
  </sheetViews>
  <sheetFormatPr baseColWidth="10" defaultRowHeight="20"/>
  <cols>
    <col min="2" max="2" width="14.140625" customWidth="1"/>
    <col min="5" max="5" width="9.85546875" customWidth="1"/>
    <col min="6" max="6" width="32" customWidth="1"/>
    <col min="8" max="8" width="26.5703125" customWidth="1"/>
  </cols>
  <sheetData>
    <row r="2" spans="2:6" ht="19" customHeight="1">
      <c r="B2" s="113" t="s">
        <v>115</v>
      </c>
      <c r="C2" s="113" t="s">
        <v>24</v>
      </c>
      <c r="D2" s="32" t="s">
        <v>25</v>
      </c>
      <c r="E2" s="32" t="s">
        <v>59</v>
      </c>
      <c r="F2" s="113" t="s">
        <v>60</v>
      </c>
    </row>
    <row r="3" spans="2:6" ht="19" customHeight="1">
      <c r="B3" s="115"/>
      <c r="C3" s="115"/>
      <c r="D3" s="34" t="s">
        <v>61</v>
      </c>
      <c r="E3" s="34" t="s">
        <v>62</v>
      </c>
      <c r="F3" s="115"/>
    </row>
    <row r="4" spans="2:6" ht="19" customHeight="1">
      <c r="B4" s="132" t="s">
        <v>117</v>
      </c>
      <c r="C4" s="32" t="s">
        <v>63</v>
      </c>
      <c r="D4" s="32">
        <v>2.4</v>
      </c>
      <c r="E4" s="32">
        <v>0</v>
      </c>
      <c r="F4" s="32" t="s">
        <v>64</v>
      </c>
    </row>
    <row r="5" spans="2:6" ht="19" customHeight="1">
      <c r="B5" s="112"/>
      <c r="C5" s="33" t="s">
        <v>65</v>
      </c>
      <c r="D5" s="33">
        <v>4.8</v>
      </c>
      <c r="E5" s="33">
        <v>0</v>
      </c>
      <c r="F5" s="33" t="s">
        <v>66</v>
      </c>
    </row>
    <row r="6" spans="2:6" ht="19" customHeight="1">
      <c r="B6" s="112"/>
      <c r="C6" s="33" t="s">
        <v>69</v>
      </c>
      <c r="D6" s="33">
        <v>2.6</v>
      </c>
      <c r="E6" s="33">
        <v>0</v>
      </c>
      <c r="F6" s="33" t="s">
        <v>70</v>
      </c>
    </row>
    <row r="7" spans="2:6" ht="19" customHeight="1">
      <c r="B7" s="112"/>
      <c r="C7" s="86" t="s">
        <v>71</v>
      </c>
      <c r="D7" s="86">
        <v>5</v>
      </c>
      <c r="E7" s="86">
        <v>1.4</v>
      </c>
      <c r="F7" s="86" t="s">
        <v>72</v>
      </c>
    </row>
    <row r="8" spans="2:6" ht="19" customHeight="1">
      <c r="B8" s="107"/>
      <c r="C8" s="131" t="s">
        <v>4</v>
      </c>
      <c r="D8" s="131"/>
      <c r="E8" s="87">
        <f>ROUNDDOWN(AVERAGE(E4:E7),2)</f>
        <v>0.35</v>
      </c>
      <c r="F8" s="86"/>
    </row>
    <row r="9" spans="2:6" ht="19" customHeight="1">
      <c r="B9" s="106" t="s">
        <v>116</v>
      </c>
      <c r="C9" s="88" t="s">
        <v>67</v>
      </c>
      <c r="D9" s="88">
        <v>10</v>
      </c>
      <c r="E9" s="88">
        <v>0</v>
      </c>
      <c r="F9" s="88" t="s">
        <v>68</v>
      </c>
    </row>
    <row r="10" spans="2:6" ht="19" customHeight="1">
      <c r="B10" s="112"/>
      <c r="C10" s="86" t="s">
        <v>73</v>
      </c>
      <c r="D10" s="86">
        <v>10.1</v>
      </c>
      <c r="E10" s="86">
        <v>0</v>
      </c>
      <c r="F10" s="86" t="s">
        <v>74</v>
      </c>
    </row>
    <row r="11" spans="2:6" ht="19" customHeight="1">
      <c r="B11" s="107"/>
      <c r="C11" s="131" t="s">
        <v>4</v>
      </c>
      <c r="D11" s="131"/>
      <c r="E11" s="87">
        <f>ROUNDDOWN(AVERAGE(E9:E10),2)</f>
        <v>0</v>
      </c>
      <c r="F11" s="8"/>
    </row>
  </sheetData>
  <mergeCells count="7">
    <mergeCell ref="C2:C3"/>
    <mergeCell ref="F2:F3"/>
    <mergeCell ref="C8:D8"/>
    <mergeCell ref="B2:B3"/>
    <mergeCell ref="C11:D11"/>
    <mergeCell ref="B4:B8"/>
    <mergeCell ref="B9:B11"/>
  </mergeCells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4D35F-4F39-554D-91E5-234761652A03}">
  <dimension ref="B2:J7"/>
  <sheetViews>
    <sheetView workbookViewId="0">
      <selection activeCell="D16" sqref="D16"/>
    </sheetView>
  </sheetViews>
  <sheetFormatPr baseColWidth="10" defaultRowHeight="20"/>
  <cols>
    <col min="5" max="5" width="13.140625" customWidth="1"/>
    <col min="6" max="6" width="1.85546875" customWidth="1"/>
    <col min="8" max="8" width="13.42578125" customWidth="1"/>
    <col min="9" max="9" width="1.28515625" customWidth="1"/>
    <col min="10" max="10" width="15.7109375" customWidth="1"/>
  </cols>
  <sheetData>
    <row r="2" spans="2:10">
      <c r="B2" s="134" t="s">
        <v>100</v>
      </c>
      <c r="C2" s="134"/>
      <c r="D2" s="137" t="s">
        <v>101</v>
      </c>
      <c r="E2" s="137"/>
      <c r="F2" s="20"/>
      <c r="G2" s="137" t="s">
        <v>157</v>
      </c>
      <c r="H2" s="137"/>
      <c r="I2" s="20"/>
      <c r="J2" s="138" t="s">
        <v>102</v>
      </c>
    </row>
    <row r="3" spans="2:10" ht="21">
      <c r="B3" s="136"/>
      <c r="C3" s="136"/>
      <c r="D3" s="134" t="s">
        <v>25</v>
      </c>
      <c r="E3" s="20" t="s">
        <v>103</v>
      </c>
      <c r="F3" s="79"/>
      <c r="G3" s="134" t="s">
        <v>25</v>
      </c>
      <c r="H3" s="20" t="s">
        <v>104</v>
      </c>
      <c r="I3" s="79"/>
      <c r="J3" s="139"/>
    </row>
    <row r="4" spans="2:10" ht="21">
      <c r="B4" s="135"/>
      <c r="C4" s="135"/>
      <c r="D4" s="135"/>
      <c r="E4" s="18" t="s">
        <v>26</v>
      </c>
      <c r="F4" s="18"/>
      <c r="G4" s="135"/>
      <c r="H4" s="18" t="s">
        <v>26</v>
      </c>
      <c r="I4" s="18"/>
      <c r="J4" s="140"/>
    </row>
    <row r="5" spans="2:10" ht="42">
      <c r="B5" s="80" t="s">
        <v>105</v>
      </c>
      <c r="C5" s="80" t="s">
        <v>106</v>
      </c>
      <c r="D5" s="32" t="s">
        <v>81</v>
      </c>
      <c r="E5" s="20" t="s">
        <v>110</v>
      </c>
      <c r="F5" s="81"/>
      <c r="G5" s="20" t="s">
        <v>111</v>
      </c>
      <c r="H5" s="20" t="s">
        <v>113</v>
      </c>
      <c r="I5" s="82"/>
      <c r="J5" s="85">
        <f>ROUNDDOWN(0.35/1458.3,5)</f>
        <v>2.4000000000000001E-4</v>
      </c>
    </row>
    <row r="6" spans="2:10" ht="42">
      <c r="B6" s="83" t="s">
        <v>107</v>
      </c>
      <c r="C6" s="83" t="s">
        <v>108</v>
      </c>
      <c r="D6" s="18" t="s">
        <v>109</v>
      </c>
      <c r="E6" s="18">
        <v>0</v>
      </c>
      <c r="F6" s="18"/>
      <c r="G6" s="18" t="s">
        <v>112</v>
      </c>
      <c r="H6" s="18" t="s">
        <v>114</v>
      </c>
      <c r="I6" s="83"/>
      <c r="J6" s="84">
        <v>0</v>
      </c>
    </row>
    <row r="7" spans="2:10" ht="51" customHeight="1">
      <c r="B7" s="133" t="s">
        <v>118</v>
      </c>
      <c r="C7" s="133"/>
      <c r="D7" s="133"/>
      <c r="E7" s="133"/>
      <c r="F7" s="133"/>
      <c r="G7" s="133"/>
      <c r="H7" s="133"/>
      <c r="I7" s="133"/>
      <c r="J7" s="133"/>
    </row>
  </sheetData>
  <mergeCells count="7">
    <mergeCell ref="B7:J7"/>
    <mergeCell ref="D3:D4"/>
    <mergeCell ref="G3:G4"/>
    <mergeCell ref="B2:C4"/>
    <mergeCell ref="D2:E2"/>
    <mergeCell ref="G2:H2"/>
    <mergeCell ref="J2:J4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B7B03-38C7-BC48-93D4-306538BAA036}">
  <dimension ref="B3:I15"/>
  <sheetViews>
    <sheetView workbookViewId="0">
      <selection activeCell="S28" sqref="S28"/>
    </sheetView>
  </sheetViews>
  <sheetFormatPr baseColWidth="10" defaultRowHeight="20"/>
  <cols>
    <col min="5" max="5" width="1.140625" customWidth="1"/>
    <col min="8" max="8" width="1.140625" customWidth="1"/>
    <col min="9" max="9" width="13.140625" customWidth="1"/>
  </cols>
  <sheetData>
    <row r="3" spans="2:9">
      <c r="B3" s="117" t="s">
        <v>17</v>
      </c>
      <c r="C3" s="123" t="s">
        <v>46</v>
      </c>
      <c r="D3" s="123"/>
      <c r="E3" s="48"/>
      <c r="F3" s="123" t="s">
        <v>47</v>
      </c>
      <c r="G3" s="123"/>
      <c r="H3" s="13"/>
      <c r="I3" s="117" t="s">
        <v>50</v>
      </c>
    </row>
    <row r="4" spans="2:9">
      <c r="B4" s="118"/>
      <c r="C4" s="25" t="s">
        <v>48</v>
      </c>
      <c r="D4" s="25" t="s">
        <v>49</v>
      </c>
      <c r="E4" s="25"/>
      <c r="F4" s="25" t="s">
        <v>48</v>
      </c>
      <c r="G4" s="25" t="s">
        <v>49</v>
      </c>
      <c r="H4" s="8"/>
      <c r="I4" s="118"/>
    </row>
    <row r="5" spans="2:9">
      <c r="B5" s="119">
        <v>4</v>
      </c>
      <c r="C5" s="53">
        <v>15.060000419616699</v>
      </c>
      <c r="D5" s="51">
        <v>33.876160601832893</v>
      </c>
      <c r="E5" s="50"/>
      <c r="F5" s="53">
        <v>15.1000003814697</v>
      </c>
      <c r="G5" s="51">
        <v>31.904035758695304</v>
      </c>
      <c r="I5" s="120">
        <f>ROUNDDOWN(AVERAGE(D5:D7,G5:G7),3)</f>
        <v>32.853000000000002</v>
      </c>
    </row>
    <row r="6" spans="2:9">
      <c r="B6" s="119"/>
      <c r="C6" s="49">
        <v>14.949999809265099</v>
      </c>
      <c r="D6" s="50">
        <v>33.732233753529627</v>
      </c>
      <c r="E6" s="50"/>
      <c r="F6" s="49">
        <v>14.8999996185303</v>
      </c>
      <c r="G6" s="50">
        <v>31.545780990577132</v>
      </c>
      <c r="I6" s="121"/>
    </row>
    <row r="7" spans="2:9">
      <c r="B7" s="119"/>
      <c r="C7" s="54">
        <v>15.0299997329712</v>
      </c>
      <c r="D7" s="52">
        <v>33.711001767879267</v>
      </c>
      <c r="E7" s="50"/>
      <c r="F7" s="54">
        <v>15.0900001525879</v>
      </c>
      <c r="G7" s="52">
        <v>32.354128372974245</v>
      </c>
      <c r="I7" s="122"/>
    </row>
    <row r="8" spans="2:9">
      <c r="B8" s="117">
        <v>5</v>
      </c>
      <c r="C8" s="49">
        <v>14.9799995422363</v>
      </c>
      <c r="D8" s="50">
        <v>32.446036977136806</v>
      </c>
      <c r="E8" s="51"/>
      <c r="F8" s="49">
        <v>15.0100002288818</v>
      </c>
      <c r="G8" s="50">
        <v>33.803056953075156</v>
      </c>
      <c r="H8" s="13"/>
      <c r="I8" s="120">
        <f t="shared" ref="I8" si="0">ROUNDDOWN(AVERAGE(D8:D10,G8:G10),3)</f>
        <v>32.887</v>
      </c>
    </row>
    <row r="9" spans="2:9">
      <c r="B9" s="119"/>
      <c r="C9" s="49">
        <v>14.9700002670288</v>
      </c>
      <c r="D9" s="50">
        <v>32.436848437490092</v>
      </c>
      <c r="E9" s="50"/>
      <c r="F9" s="49">
        <v>14.9099998474121</v>
      </c>
      <c r="G9" s="50">
        <v>33.013792148840679</v>
      </c>
      <c r="I9" s="121"/>
    </row>
    <row r="10" spans="2:9">
      <c r="B10" s="118"/>
      <c r="C10" s="49">
        <v>14.9099998474121</v>
      </c>
      <c r="D10" s="50">
        <v>32.69083887518407</v>
      </c>
      <c r="E10" s="52"/>
      <c r="F10" s="49">
        <v>15.050000190734901</v>
      </c>
      <c r="G10" s="50">
        <v>32.934398288788536</v>
      </c>
      <c r="H10" s="8"/>
      <c r="I10" s="122"/>
    </row>
    <row r="11" spans="2:9">
      <c r="B11" s="117">
        <v>6</v>
      </c>
      <c r="C11" s="53">
        <v>14.9700002670288</v>
      </c>
      <c r="D11" s="51">
        <v>33.178826469530435</v>
      </c>
      <c r="E11" s="51"/>
      <c r="F11" s="53">
        <v>14.8999996185303</v>
      </c>
      <c r="G11" s="51">
        <v>30.247772191144783</v>
      </c>
      <c r="I11" s="120">
        <f t="shared" ref="I11" si="1">ROUNDDOWN(AVERAGE(D11:D13,G11:G13),3)</f>
        <v>31.943000000000001</v>
      </c>
    </row>
    <row r="12" spans="2:9">
      <c r="B12" s="119"/>
      <c r="C12" s="49">
        <v>15</v>
      </c>
      <c r="D12" s="50">
        <v>33.527752820778616</v>
      </c>
      <c r="E12" s="50"/>
      <c r="F12" s="49">
        <v>15.0100002288818</v>
      </c>
      <c r="G12" s="50">
        <v>30.26070860820893</v>
      </c>
      <c r="I12" s="121"/>
    </row>
    <row r="13" spans="2:9">
      <c r="B13" s="119"/>
      <c r="C13" s="54">
        <v>15.069999694824199</v>
      </c>
      <c r="D13" s="52">
        <v>33.450252718315284</v>
      </c>
      <c r="E13" s="50"/>
      <c r="F13" s="54">
        <v>15.039999961853001</v>
      </c>
      <c r="G13" s="52">
        <v>30.995989535785988</v>
      </c>
      <c r="I13" s="121"/>
    </row>
    <row r="14" spans="2:9">
      <c r="B14" s="117" t="s">
        <v>51</v>
      </c>
      <c r="C14" s="13"/>
      <c r="D14" s="51">
        <f>ROUNDDOWN(AVERAGE(D5:D13),3)</f>
        <v>33.226999999999997</v>
      </c>
      <c r="E14" s="13"/>
      <c r="F14" s="13"/>
      <c r="G14" s="51">
        <f>ROUNDDOWN(AVERAGE(G5:G13),3)</f>
        <v>31.895</v>
      </c>
      <c r="H14" s="13"/>
      <c r="I14" s="51">
        <f>ROUNDDOWN(AVERAGE(D5:D13,G5:G13),3)</f>
        <v>32.561</v>
      </c>
    </row>
    <row r="15" spans="2:9">
      <c r="B15" s="118"/>
      <c r="C15" s="8"/>
      <c r="D15" s="12">
        <f>ROUNDDOWN(-1*STDEV(D5:D13),3)</f>
        <v>-0.56699999999999995</v>
      </c>
      <c r="E15" s="8"/>
      <c r="F15" s="8"/>
      <c r="G15" s="12">
        <f>ROUNDDOWN(-1*STDEV(G5:G13),3)</f>
        <v>-1.2490000000000001</v>
      </c>
      <c r="H15" s="8"/>
      <c r="I15" s="12">
        <f>ROUNDDOWN(-1*STDEV(D5:D13,G5:G13),3)</f>
        <v>-1.1639999999999999</v>
      </c>
    </row>
  </sheetData>
  <mergeCells count="11">
    <mergeCell ref="I3:I4"/>
    <mergeCell ref="B3:B4"/>
    <mergeCell ref="C3:D3"/>
    <mergeCell ref="F3:G3"/>
    <mergeCell ref="B14:B15"/>
    <mergeCell ref="B5:B7"/>
    <mergeCell ref="I5:I7"/>
    <mergeCell ref="B8:B10"/>
    <mergeCell ref="I8:I10"/>
    <mergeCell ref="B11:B13"/>
    <mergeCell ref="I11:I13"/>
  </mergeCells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7E801-6A6D-1C41-B244-1EAE30AB7D5B}">
  <dimension ref="B3:E10"/>
  <sheetViews>
    <sheetView workbookViewId="0">
      <selection activeCell="C20" sqref="C20"/>
    </sheetView>
  </sheetViews>
  <sheetFormatPr baseColWidth="10" defaultRowHeight="20"/>
  <cols>
    <col min="2" max="2" width="10.7109375" style="3"/>
    <col min="3" max="3" width="36" customWidth="1"/>
    <col min="4" max="4" width="12" customWidth="1"/>
    <col min="5" max="5" width="36.140625" customWidth="1"/>
  </cols>
  <sheetData>
    <row r="3" spans="2:5">
      <c r="B3" s="31" t="s">
        <v>138</v>
      </c>
      <c r="C3" s="31" t="s">
        <v>18</v>
      </c>
      <c r="D3" s="31" t="s">
        <v>55</v>
      </c>
      <c r="E3" s="31" t="s">
        <v>52</v>
      </c>
    </row>
    <row r="4" spans="2:5">
      <c r="B4" s="112" t="s">
        <v>155</v>
      </c>
      <c r="C4" t="s">
        <v>139</v>
      </c>
      <c r="D4" s="3">
        <v>1458.3</v>
      </c>
      <c r="E4" t="s">
        <v>148</v>
      </c>
    </row>
    <row r="5" spans="2:5" ht="47" customHeight="1">
      <c r="B5" s="112"/>
      <c r="C5" t="s">
        <v>140</v>
      </c>
      <c r="D5" s="3">
        <v>1819.2</v>
      </c>
      <c r="E5" s="92" t="s">
        <v>150</v>
      </c>
    </row>
    <row r="6" spans="2:5">
      <c r="B6" s="112"/>
      <c r="C6" t="s">
        <v>141</v>
      </c>
      <c r="D6" s="75">
        <f>ROUNDDOWN(D4/D5,4)</f>
        <v>0.80159999999999998</v>
      </c>
      <c r="E6" t="s">
        <v>30</v>
      </c>
    </row>
    <row r="7" spans="2:5" ht="27" customHeight="1">
      <c r="B7" s="112"/>
      <c r="C7" t="s">
        <v>142</v>
      </c>
      <c r="D7" s="75">
        <v>0.81579999999999997</v>
      </c>
      <c r="E7" t="s">
        <v>149</v>
      </c>
    </row>
    <row r="8" spans="2:5" ht="42">
      <c r="B8" s="106" t="s">
        <v>143</v>
      </c>
      <c r="C8" s="13" t="s">
        <v>144</v>
      </c>
      <c r="D8" s="1">
        <v>0.35</v>
      </c>
      <c r="E8" s="101" t="s">
        <v>151</v>
      </c>
    </row>
    <row r="9" spans="2:5">
      <c r="B9" s="112"/>
      <c r="C9" t="s">
        <v>145</v>
      </c>
      <c r="D9" s="102">
        <f>ROUNDDOWN(D8/D6,1)</f>
        <v>0.4</v>
      </c>
      <c r="E9" t="s">
        <v>146</v>
      </c>
    </row>
    <row r="10" spans="2:5">
      <c r="B10" s="107"/>
      <c r="C10" s="8" t="s">
        <v>147</v>
      </c>
      <c r="D10" s="2">
        <f>ROUNDDOWN(D9*(1-D7),3)</f>
        <v>7.2999999999999995E-2</v>
      </c>
      <c r="E10" s="8" t="s">
        <v>146</v>
      </c>
    </row>
  </sheetData>
  <mergeCells count="2">
    <mergeCell ref="B4:B7"/>
    <mergeCell ref="B8:B10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19E12-6523-4F43-B299-408E031020DA}">
  <dimension ref="B1:E14"/>
  <sheetViews>
    <sheetView tabSelected="1" workbookViewId="0">
      <selection activeCell="H17" sqref="H17"/>
    </sheetView>
  </sheetViews>
  <sheetFormatPr baseColWidth="10" defaultRowHeight="20"/>
  <cols>
    <col min="2" max="2" width="18.42578125" customWidth="1"/>
    <col min="3" max="3" width="20.7109375" customWidth="1"/>
    <col min="5" max="5" width="27.85546875" customWidth="1"/>
  </cols>
  <sheetData>
    <row r="1" spans="2:5" ht="38" customHeight="1"/>
    <row r="2" spans="2:5">
      <c r="B2" s="147" t="s">
        <v>19</v>
      </c>
      <c r="C2" s="147"/>
      <c r="D2" s="90" t="s">
        <v>119</v>
      </c>
      <c r="E2" s="90" t="s">
        <v>120</v>
      </c>
    </row>
    <row r="3" spans="2:5" ht="54" customHeight="1">
      <c r="B3" s="144" t="s">
        <v>156</v>
      </c>
      <c r="C3" s="144"/>
      <c r="D3" s="91">
        <v>36</v>
      </c>
      <c r="E3" s="93" t="s">
        <v>134</v>
      </c>
    </row>
    <row r="4" spans="2:5" ht="36" customHeight="1">
      <c r="B4" s="145" t="s">
        <v>135</v>
      </c>
      <c r="C4" s="145"/>
      <c r="D4" s="103">
        <v>7.2999999999999995E-2</v>
      </c>
      <c r="E4" s="93" t="s">
        <v>153</v>
      </c>
    </row>
    <row r="5" spans="2:5" ht="36" customHeight="1">
      <c r="B5" s="146" t="s">
        <v>154</v>
      </c>
      <c r="C5" s="146"/>
      <c r="D5" s="99">
        <f>ROUNDDOWN(D3+D4,2)</f>
        <v>36.07</v>
      </c>
      <c r="E5" s="93" t="s">
        <v>152</v>
      </c>
    </row>
    <row r="6" spans="2:5" ht="76" customHeight="1">
      <c r="B6" s="142" t="s">
        <v>122</v>
      </c>
      <c r="C6" s="142"/>
      <c r="D6" s="89">
        <v>4</v>
      </c>
      <c r="E6" s="94" t="s">
        <v>123</v>
      </c>
    </row>
    <row r="7" spans="2:5" ht="24" customHeight="1">
      <c r="B7" s="142" t="s">
        <v>136</v>
      </c>
      <c r="C7" s="142"/>
      <c r="D7" s="100">
        <v>0.3256</v>
      </c>
      <c r="E7" s="95" t="s">
        <v>137</v>
      </c>
    </row>
    <row r="8" spans="2:5" ht="32" customHeight="1">
      <c r="B8" s="142" t="s">
        <v>124</v>
      </c>
      <c r="C8" s="142"/>
      <c r="D8" s="96">
        <v>0.16200000000000001</v>
      </c>
      <c r="E8" s="144" t="s">
        <v>125</v>
      </c>
    </row>
    <row r="9" spans="2:5">
      <c r="B9" s="142" t="s">
        <v>126</v>
      </c>
      <c r="C9" s="142"/>
      <c r="D9" s="96">
        <v>1.8100000000000002E-2</v>
      </c>
      <c r="E9" s="145"/>
    </row>
    <row r="10" spans="2:5">
      <c r="B10" s="142" t="s">
        <v>127</v>
      </c>
      <c r="C10" s="142"/>
      <c r="D10" s="96">
        <v>2.12</v>
      </c>
      <c r="E10" s="146"/>
    </row>
    <row r="11" spans="2:5">
      <c r="B11" s="142" t="s">
        <v>128</v>
      </c>
      <c r="C11" s="142"/>
      <c r="D11" s="97">
        <v>3.6659999999999999</v>
      </c>
      <c r="E11" s="95" t="s">
        <v>129</v>
      </c>
    </row>
    <row r="12" spans="2:5" ht="54" customHeight="1">
      <c r="B12" s="141" t="s">
        <v>130</v>
      </c>
      <c r="C12" s="141"/>
      <c r="D12" s="98">
        <f>ROUNDDOWN(D5*D6*D7*(D8+D9)*D10*D11,4)</f>
        <v>65.755499999999998</v>
      </c>
      <c r="E12" s="95" t="s">
        <v>121</v>
      </c>
    </row>
    <row r="13" spans="2:5">
      <c r="B13" s="142" t="s">
        <v>131</v>
      </c>
      <c r="C13" s="142"/>
      <c r="D13" s="24">
        <v>13.7173</v>
      </c>
      <c r="E13" s="95" t="s">
        <v>132</v>
      </c>
    </row>
    <row r="14" spans="2:5" ht="36" customHeight="1">
      <c r="B14" s="143" t="s">
        <v>133</v>
      </c>
      <c r="C14" s="143"/>
      <c r="D14" s="148">
        <f>ROUNDDOWN(D12*D13/100,3)</f>
        <v>9.0190000000000001</v>
      </c>
      <c r="E14" s="95" t="s">
        <v>121</v>
      </c>
    </row>
  </sheetData>
  <mergeCells count="14">
    <mergeCell ref="B2:C2"/>
    <mergeCell ref="B3:C3"/>
    <mergeCell ref="B4:C4"/>
    <mergeCell ref="B5:C5"/>
    <mergeCell ref="B6:C6"/>
    <mergeCell ref="B7:C7"/>
    <mergeCell ref="B12:C12"/>
    <mergeCell ref="B13:C13"/>
    <mergeCell ref="B14:C14"/>
    <mergeCell ref="B8:C8"/>
    <mergeCell ref="E8:E10"/>
    <mergeCell ref="B9:C9"/>
    <mergeCell ref="B10:C10"/>
    <mergeCell ref="B11:C1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2950F-CCBF-1749-8BAF-AEF10F8F3A64}">
  <dimension ref="B3:T10"/>
  <sheetViews>
    <sheetView workbookViewId="0">
      <selection activeCell="O22" sqref="O22"/>
    </sheetView>
  </sheetViews>
  <sheetFormatPr baseColWidth="10" defaultRowHeight="20"/>
  <cols>
    <col min="2" max="3" width="5.28515625" customWidth="1"/>
    <col min="4" max="5" width="7.28515625" customWidth="1"/>
    <col min="6" max="6" width="0.7109375" customWidth="1"/>
    <col min="7" max="8" width="5.85546875" customWidth="1"/>
    <col min="9" max="9" width="1" customWidth="1"/>
    <col min="10" max="12" width="8.7109375" customWidth="1"/>
    <col min="13" max="13" width="0.85546875" customWidth="1"/>
    <col min="14" max="15" width="8.7109375" customWidth="1"/>
    <col min="16" max="16" width="8.28515625" customWidth="1"/>
    <col min="17" max="17" width="0.140625" customWidth="1"/>
    <col min="18" max="20" width="7" customWidth="1"/>
  </cols>
  <sheetData>
    <row r="3" spans="2:20">
      <c r="B3" s="1"/>
      <c r="C3" s="108" t="s">
        <v>5</v>
      </c>
      <c r="D3" s="109" t="s">
        <v>6</v>
      </c>
      <c r="E3" s="109"/>
      <c r="F3" s="109"/>
      <c r="G3" s="109"/>
      <c r="H3" s="109"/>
      <c r="I3" s="1"/>
      <c r="J3" s="106" t="s">
        <v>7</v>
      </c>
      <c r="K3" s="106"/>
      <c r="L3" s="106"/>
      <c r="M3" s="1"/>
      <c r="N3" s="109" t="s">
        <v>8</v>
      </c>
      <c r="O3" s="109"/>
      <c r="P3" s="109"/>
      <c r="Q3" s="109"/>
      <c r="R3" s="109"/>
      <c r="S3" s="109"/>
      <c r="T3" s="109"/>
    </row>
    <row r="4" spans="2:20">
      <c r="B4" s="112" t="s">
        <v>9</v>
      </c>
      <c r="C4" s="110"/>
      <c r="D4" s="107" t="s">
        <v>10</v>
      </c>
      <c r="E4" s="107"/>
      <c r="F4" s="3"/>
      <c r="G4" s="107" t="s">
        <v>11</v>
      </c>
      <c r="H4" s="107"/>
      <c r="I4" s="3"/>
      <c r="J4" s="107"/>
      <c r="K4" s="107"/>
      <c r="L4" s="107"/>
      <c r="M4" s="3"/>
      <c r="N4" s="109" t="s">
        <v>12</v>
      </c>
      <c r="O4" s="109"/>
      <c r="P4" s="109"/>
      <c r="Q4" s="3"/>
      <c r="R4" s="107" t="s">
        <v>13</v>
      </c>
      <c r="S4" s="107"/>
      <c r="T4" s="107"/>
    </row>
    <row r="5" spans="2:20">
      <c r="B5" s="107"/>
      <c r="C5" s="111"/>
      <c r="D5" s="2" t="s">
        <v>14</v>
      </c>
      <c r="E5" s="2" t="s">
        <v>15</v>
      </c>
      <c r="F5" s="2"/>
      <c r="G5" s="2" t="s">
        <v>14</v>
      </c>
      <c r="H5" s="2" t="s">
        <v>15</v>
      </c>
      <c r="I5" s="2"/>
      <c r="J5" s="2" t="s">
        <v>14</v>
      </c>
      <c r="K5" s="2" t="s">
        <v>15</v>
      </c>
      <c r="L5" s="2" t="s">
        <v>4</v>
      </c>
      <c r="M5" s="2"/>
      <c r="N5" s="2" t="s">
        <v>14</v>
      </c>
      <c r="O5" s="2" t="s">
        <v>15</v>
      </c>
      <c r="P5" s="2" t="s">
        <v>16</v>
      </c>
      <c r="Q5" s="2"/>
      <c r="R5" s="2" t="s">
        <v>14</v>
      </c>
      <c r="S5" s="2" t="s">
        <v>15</v>
      </c>
      <c r="T5" s="2" t="s">
        <v>16</v>
      </c>
    </row>
    <row r="6" spans="2:20">
      <c r="B6" s="3">
        <v>1</v>
      </c>
      <c r="C6" s="28">
        <v>3.7</v>
      </c>
      <c r="D6" s="28">
        <v>419.3</v>
      </c>
      <c r="E6" s="28">
        <v>82.5</v>
      </c>
      <c r="F6" s="9"/>
      <c r="G6" s="9">
        <v>62.8</v>
      </c>
      <c r="H6" s="9">
        <v>11.4</v>
      </c>
      <c r="I6" s="9"/>
      <c r="J6" s="4">
        <f t="shared" ref="J6:K8" si="0">ROUNDDOWN(1-(G6/D6),5)</f>
        <v>0.85021999999999998</v>
      </c>
      <c r="K6" s="4">
        <f t="shared" si="0"/>
        <v>0.86180999999999996</v>
      </c>
      <c r="L6" s="4">
        <f>ROUNDDOWN(((J6+K6)/2),4)</f>
        <v>0.85599999999999998</v>
      </c>
      <c r="M6" s="9"/>
      <c r="N6" s="9">
        <f t="shared" ref="N6:O8" si="1">D6*4</f>
        <v>1677.2</v>
      </c>
      <c r="O6" s="9">
        <f t="shared" si="1"/>
        <v>330</v>
      </c>
      <c r="P6" s="9">
        <f>N6+O6</f>
        <v>2007.2</v>
      </c>
      <c r="Q6" s="9"/>
      <c r="R6" s="9">
        <f t="shared" ref="R6:S8" si="2">G6*4</f>
        <v>251.2</v>
      </c>
      <c r="S6" s="9">
        <f t="shared" si="2"/>
        <v>45.6</v>
      </c>
      <c r="T6" s="9">
        <f>R6+S6</f>
        <v>296.8</v>
      </c>
    </row>
    <row r="7" spans="2:20">
      <c r="B7" s="3">
        <v>2</v>
      </c>
      <c r="C7" s="29">
        <v>3.7</v>
      </c>
      <c r="D7" s="29">
        <v>381.8</v>
      </c>
      <c r="E7" s="29">
        <v>69.099999999999994</v>
      </c>
      <c r="F7" s="9"/>
      <c r="G7" s="9">
        <v>76.099999999999994</v>
      </c>
      <c r="H7" s="9">
        <v>15.3</v>
      </c>
      <c r="I7" s="9"/>
      <c r="J7" s="4">
        <f t="shared" si="0"/>
        <v>0.80067999999999995</v>
      </c>
      <c r="K7" s="4">
        <f t="shared" si="0"/>
        <v>0.77858000000000005</v>
      </c>
      <c r="L7" s="4">
        <f t="shared" ref="L7:L9" si="3">ROUNDDOWN(((J7+K7)/2),4)</f>
        <v>0.78959999999999997</v>
      </c>
      <c r="M7" s="9"/>
      <c r="N7" s="9">
        <f t="shared" si="1"/>
        <v>1527.2</v>
      </c>
      <c r="O7" s="9">
        <f t="shared" si="1"/>
        <v>276.39999999999998</v>
      </c>
      <c r="P7" s="9">
        <f>N7+O7</f>
        <v>1803.6</v>
      </c>
      <c r="Q7" s="9"/>
      <c r="R7" s="9">
        <f t="shared" si="2"/>
        <v>304.39999999999998</v>
      </c>
      <c r="S7" s="9">
        <f t="shared" si="2"/>
        <v>61.2</v>
      </c>
      <c r="T7" s="9">
        <f>R7+S7</f>
        <v>365.59999999999997</v>
      </c>
    </row>
    <row r="8" spans="2:20">
      <c r="B8" s="3">
        <v>3</v>
      </c>
      <c r="C8" s="30">
        <v>2.9</v>
      </c>
      <c r="D8" s="30">
        <v>292.60000000000002</v>
      </c>
      <c r="E8" s="30">
        <v>119.1</v>
      </c>
      <c r="F8" s="9"/>
      <c r="G8" s="9">
        <v>63.1</v>
      </c>
      <c r="H8" s="9">
        <v>21.4</v>
      </c>
      <c r="I8" s="9"/>
      <c r="J8" s="4">
        <f t="shared" si="0"/>
        <v>0.78434000000000004</v>
      </c>
      <c r="K8" s="4">
        <f t="shared" si="0"/>
        <v>0.82030999999999998</v>
      </c>
      <c r="L8" s="4">
        <f t="shared" si="3"/>
        <v>0.80230000000000001</v>
      </c>
      <c r="M8" s="9"/>
      <c r="N8" s="9">
        <f t="shared" si="1"/>
        <v>1170.4000000000001</v>
      </c>
      <c r="O8" s="9">
        <f t="shared" si="1"/>
        <v>476.4</v>
      </c>
      <c r="P8" s="9">
        <f>N8+O8</f>
        <v>1646.8000000000002</v>
      </c>
      <c r="Q8" s="9"/>
      <c r="R8" s="9">
        <f t="shared" si="2"/>
        <v>252.4</v>
      </c>
      <c r="S8" s="9">
        <f t="shared" si="2"/>
        <v>85.6</v>
      </c>
      <c r="T8" s="9">
        <f>R8+S8</f>
        <v>338</v>
      </c>
    </row>
    <row r="9" spans="2:20">
      <c r="B9" s="109" t="s">
        <v>4</v>
      </c>
      <c r="C9" s="109"/>
      <c r="D9" s="5">
        <f>AVERAGE(D6:D8)</f>
        <v>364.56666666666666</v>
      </c>
      <c r="E9" s="5">
        <f>AVERAGE(E6:E8)</f>
        <v>90.233333333333334</v>
      </c>
      <c r="F9" s="5"/>
      <c r="G9" s="5">
        <f>AVERAGE(G6:G8)</f>
        <v>67.333333333333329</v>
      </c>
      <c r="H9" s="5">
        <f>AVERAGE(H6:H8)</f>
        <v>16.033333333333335</v>
      </c>
      <c r="I9" s="5"/>
      <c r="J9" s="7">
        <f>ROUNDDOWN(AVERAGE(J6:J8),4)</f>
        <v>0.81169999999999998</v>
      </c>
      <c r="K9" s="7">
        <f>ROUNDDOWN(AVERAGE(K6:K8),3)</f>
        <v>0.82</v>
      </c>
      <c r="L9" s="7">
        <f t="shared" si="3"/>
        <v>0.81579999999999997</v>
      </c>
      <c r="M9" s="5"/>
      <c r="N9" s="5">
        <f>AVERAGE(N6:N8)</f>
        <v>1458.2666666666667</v>
      </c>
      <c r="O9" s="5">
        <f>AVERAGE(O6:O8)</f>
        <v>360.93333333333334</v>
      </c>
      <c r="P9" s="11">
        <f>ROUNDDOWN(AVERAGE(P6:P8),1)</f>
        <v>1819.2</v>
      </c>
      <c r="Q9" s="5"/>
      <c r="R9" s="5">
        <f>AVERAGE(R6:R8)</f>
        <v>269.33333333333331</v>
      </c>
      <c r="S9" s="5">
        <f>AVERAGE(S6:S8)</f>
        <v>64.13333333333334</v>
      </c>
      <c r="T9" s="11">
        <f>ROUNDDOWN(AVERAGE(T6:T8),1)</f>
        <v>333.4</v>
      </c>
    </row>
    <row r="10" spans="2:20">
      <c r="N10" s="74"/>
    </row>
  </sheetData>
  <mergeCells count="10">
    <mergeCell ref="B9:C9"/>
    <mergeCell ref="N4:P4"/>
    <mergeCell ref="C3:C5"/>
    <mergeCell ref="D3:H3"/>
    <mergeCell ref="N3:T3"/>
    <mergeCell ref="B4:B5"/>
    <mergeCell ref="D4:E4"/>
    <mergeCell ref="G4:H4"/>
    <mergeCell ref="R4:T4"/>
    <mergeCell ref="J3:L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8947-F078-BF42-995E-C866C2312356}">
  <dimension ref="B2:H8"/>
  <sheetViews>
    <sheetView workbookViewId="0">
      <selection activeCell="H9" sqref="H9"/>
    </sheetView>
  </sheetViews>
  <sheetFormatPr baseColWidth="10" defaultRowHeight="20"/>
  <cols>
    <col min="6" max="6" width="1.28515625" customWidth="1"/>
  </cols>
  <sheetData>
    <row r="2" spans="2:8">
      <c r="B2" s="113" t="s">
        <v>34</v>
      </c>
      <c r="C2" s="113" t="s">
        <v>35</v>
      </c>
      <c r="D2" s="113" t="s">
        <v>36</v>
      </c>
      <c r="E2" s="113"/>
      <c r="F2" s="113"/>
      <c r="G2" s="113" t="s">
        <v>37</v>
      </c>
      <c r="H2" s="113"/>
    </row>
    <row r="3" spans="2:8">
      <c r="B3" s="114"/>
      <c r="C3" s="114"/>
      <c r="D3" s="115"/>
      <c r="E3" s="115"/>
      <c r="F3" s="114"/>
      <c r="G3" s="115" t="s">
        <v>38</v>
      </c>
      <c r="H3" s="115"/>
    </row>
    <row r="4" spans="2:8">
      <c r="B4" s="115"/>
      <c r="C4" s="115"/>
      <c r="D4" s="35" t="s">
        <v>39</v>
      </c>
      <c r="E4" s="35" t="s">
        <v>40</v>
      </c>
      <c r="F4" s="34"/>
      <c r="G4" s="35" t="s">
        <v>41</v>
      </c>
      <c r="H4" s="35" t="s">
        <v>42</v>
      </c>
    </row>
    <row r="5" spans="2:8">
      <c r="B5" s="32">
        <v>1</v>
      </c>
      <c r="C5" s="36">
        <v>0.89549999999999996</v>
      </c>
      <c r="D5" s="37">
        <v>2007.2</v>
      </c>
      <c r="E5" s="37">
        <v>296.8</v>
      </c>
      <c r="F5" s="38"/>
      <c r="G5" s="37">
        <f>ROUNDDOWN(C5*D5,2)</f>
        <v>1797.44</v>
      </c>
      <c r="H5" s="37">
        <f>ROUNDDOWN(C5*E5,2)</f>
        <v>265.77999999999997</v>
      </c>
    </row>
    <row r="6" spans="2:8">
      <c r="B6" s="33">
        <v>2</v>
      </c>
      <c r="C6" s="39">
        <v>1</v>
      </c>
      <c r="D6" s="40">
        <v>1803.6</v>
      </c>
      <c r="E6" s="40">
        <v>365.59999999999997</v>
      </c>
      <c r="F6" s="41"/>
      <c r="G6" s="33">
        <f>ROUNDDOWN(C6*D6,2)</f>
        <v>1803.6</v>
      </c>
      <c r="H6" s="33">
        <f t="shared" ref="H6:H7" si="0">ROUNDDOWN(C6*E6,2)</f>
        <v>365.6</v>
      </c>
    </row>
    <row r="7" spans="2:8">
      <c r="B7" s="33">
        <v>3</v>
      </c>
      <c r="C7" s="39">
        <v>1</v>
      </c>
      <c r="D7" s="40">
        <v>1646.8000000000002</v>
      </c>
      <c r="E7" s="40">
        <v>338</v>
      </c>
      <c r="F7" s="41"/>
      <c r="G7" s="33">
        <f t="shared" ref="G7" si="1">ROUNDDOWN(C7*D7,2)</f>
        <v>1646.8</v>
      </c>
      <c r="H7" s="40">
        <f t="shared" si="0"/>
        <v>338</v>
      </c>
    </row>
    <row r="8" spans="2:8">
      <c r="B8" s="35" t="s">
        <v>43</v>
      </c>
      <c r="C8" s="42">
        <f>AVERAGE(C5:C7)</f>
        <v>0.96516666666666673</v>
      </c>
      <c r="D8" s="43">
        <v>1819.2</v>
      </c>
      <c r="E8" s="44">
        <v>333.46666666666664</v>
      </c>
      <c r="F8" s="44"/>
      <c r="G8" s="43">
        <f>ROUNDDOWN(AVERAGE(G5:G7),2)</f>
        <v>1749.28</v>
      </c>
      <c r="H8" s="44">
        <f>ROUNDDOWN(AVERAGE(H5:H7),2)</f>
        <v>323.12</v>
      </c>
    </row>
  </sheetData>
  <mergeCells count="6">
    <mergeCell ref="G2:H2"/>
    <mergeCell ref="B2:B4"/>
    <mergeCell ref="C2:C4"/>
    <mergeCell ref="D2:E3"/>
    <mergeCell ref="F2:F3"/>
    <mergeCell ref="G3:H3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283C3-1ACD-B243-BF95-AFFFEE2E6195}">
  <dimension ref="B3:H5"/>
  <sheetViews>
    <sheetView workbookViewId="0">
      <selection activeCell="H12" sqref="H12"/>
    </sheetView>
  </sheetViews>
  <sheetFormatPr baseColWidth="10" defaultRowHeight="20"/>
  <cols>
    <col min="5" max="5" width="1.5703125" customWidth="1"/>
  </cols>
  <sheetData>
    <row r="3" spans="2:8" ht="24" customHeight="1">
      <c r="B3" s="116" t="s">
        <v>44</v>
      </c>
      <c r="C3" s="116"/>
      <c r="D3" s="116"/>
      <c r="E3" s="45"/>
      <c r="F3" s="116" t="s">
        <v>45</v>
      </c>
      <c r="G3" s="116"/>
      <c r="H3" s="116"/>
    </row>
    <row r="4" spans="2:8" ht="24" customHeight="1">
      <c r="B4" s="46" t="s">
        <v>20</v>
      </c>
      <c r="C4" s="46" t="s">
        <v>21</v>
      </c>
      <c r="D4" s="46" t="s">
        <v>22</v>
      </c>
      <c r="E4" s="46"/>
      <c r="F4" s="46" t="s">
        <v>20</v>
      </c>
      <c r="G4" s="46" t="s">
        <v>21</v>
      </c>
      <c r="H4" s="46" t="s">
        <v>22</v>
      </c>
    </row>
    <row r="5" spans="2:8" ht="24" customHeight="1">
      <c r="B5" s="47">
        <v>200</v>
      </c>
      <c r="C5" s="47">
        <v>49.5</v>
      </c>
      <c r="D5" s="47">
        <v>249.5</v>
      </c>
      <c r="E5" s="47"/>
      <c r="F5" s="47">
        <v>36.9</v>
      </c>
      <c r="G5" s="47">
        <v>8.8000000000000007</v>
      </c>
      <c r="H5" s="47">
        <v>45.7</v>
      </c>
    </row>
  </sheetData>
  <mergeCells count="2">
    <mergeCell ref="B3:D3"/>
    <mergeCell ref="F3:H3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5D182-79E6-FD4A-843E-53DA6296E97C}">
  <dimension ref="A3:H15"/>
  <sheetViews>
    <sheetView workbookViewId="0">
      <selection activeCell="J18" sqref="J18"/>
    </sheetView>
  </sheetViews>
  <sheetFormatPr baseColWidth="10" defaultRowHeight="20"/>
  <cols>
    <col min="1" max="1" width="9.5703125" customWidth="1"/>
    <col min="4" max="4" width="1.28515625" customWidth="1"/>
    <col min="7" max="7" width="1.5703125" customWidth="1"/>
    <col min="8" max="8" width="10" customWidth="1"/>
  </cols>
  <sheetData>
    <row r="3" spans="1:8">
      <c r="A3" s="117" t="s">
        <v>17</v>
      </c>
      <c r="B3" s="123" t="s">
        <v>46</v>
      </c>
      <c r="C3" s="123"/>
      <c r="D3" s="48"/>
      <c r="E3" s="123" t="s">
        <v>47</v>
      </c>
      <c r="F3" s="123"/>
      <c r="G3" s="13"/>
      <c r="H3" s="117" t="s">
        <v>50</v>
      </c>
    </row>
    <row r="4" spans="1:8">
      <c r="A4" s="118"/>
      <c r="B4" s="25" t="s">
        <v>48</v>
      </c>
      <c r="C4" s="25" t="s">
        <v>49</v>
      </c>
      <c r="D4" s="25"/>
      <c r="E4" s="25" t="s">
        <v>48</v>
      </c>
      <c r="F4" s="25" t="s">
        <v>49</v>
      </c>
      <c r="G4" s="8"/>
      <c r="H4" s="118"/>
    </row>
    <row r="5" spans="1:8">
      <c r="A5" s="119">
        <f>IF(B5="","",1)</f>
        <v>1</v>
      </c>
      <c r="B5" s="49">
        <v>14.960000038146999</v>
      </c>
      <c r="C5" s="50">
        <v>30.16989141448526</v>
      </c>
      <c r="D5" s="50"/>
      <c r="E5" s="49">
        <v>15</v>
      </c>
      <c r="F5" s="50">
        <v>30.238969781825237</v>
      </c>
      <c r="H5" s="120">
        <f>ROUNDDOWN(AVERAGE(C5:C7,F5:F7),3)</f>
        <v>30.42</v>
      </c>
    </row>
    <row r="6" spans="1:8">
      <c r="A6" s="119"/>
      <c r="B6" s="49">
        <v>15.039999961853001</v>
      </c>
      <c r="C6" s="50">
        <v>30.119442620357912</v>
      </c>
      <c r="D6" s="50"/>
      <c r="E6" s="49">
        <v>14.9899997711182</v>
      </c>
      <c r="F6" s="50">
        <v>31.249578595141909</v>
      </c>
      <c r="H6" s="121"/>
    </row>
    <row r="7" spans="1:8">
      <c r="A7" s="119"/>
      <c r="B7" s="49">
        <v>14.9799995422363</v>
      </c>
      <c r="C7" s="50">
        <v>30.118332936747976</v>
      </c>
      <c r="D7" s="50"/>
      <c r="E7" s="49">
        <v>15.039999961853001</v>
      </c>
      <c r="F7" s="50">
        <v>30.624710293295951</v>
      </c>
      <c r="H7" s="122"/>
    </row>
    <row r="8" spans="1:8">
      <c r="A8" s="117">
        <f>IF(B8="","",A5+1)</f>
        <v>2</v>
      </c>
      <c r="B8" s="53">
        <v>15.0200004577637</v>
      </c>
      <c r="C8" s="51">
        <v>28.607893221580156</v>
      </c>
      <c r="D8" s="51"/>
      <c r="E8" s="53">
        <v>15.069999694824199</v>
      </c>
      <c r="F8" s="51">
        <v>28.406433943601019</v>
      </c>
      <c r="G8" s="13"/>
      <c r="H8" s="120">
        <f t="shared" ref="H8" si="0">ROUNDDOWN(AVERAGE(C8:C10,F8:F10),3)</f>
        <v>28.760999999999999</v>
      </c>
    </row>
    <row r="9" spans="1:8">
      <c r="A9" s="119"/>
      <c r="B9" s="49">
        <v>14.8999996185303</v>
      </c>
      <c r="C9" s="50">
        <v>29.477889996467571</v>
      </c>
      <c r="D9" s="50"/>
      <c r="E9" s="49">
        <v>15.079999923706101</v>
      </c>
      <c r="F9" s="50">
        <v>28.419361191540794</v>
      </c>
      <c r="H9" s="121"/>
    </row>
    <row r="10" spans="1:8">
      <c r="A10" s="118"/>
      <c r="B10" s="54">
        <v>14.9099998474121</v>
      </c>
      <c r="C10" s="52">
        <v>28.967309790104711</v>
      </c>
      <c r="D10" s="52"/>
      <c r="E10" s="54">
        <v>14.960000038146999</v>
      </c>
      <c r="F10" s="52">
        <v>28.691115767127982</v>
      </c>
      <c r="G10" s="8"/>
      <c r="H10" s="122"/>
    </row>
    <row r="11" spans="1:8">
      <c r="A11" s="117">
        <f>IF(B11="","",A8+1)</f>
        <v>3</v>
      </c>
      <c r="B11" s="53">
        <v>15.069999694824199</v>
      </c>
      <c r="C11" s="51">
        <v>31.536961484195782</v>
      </c>
      <c r="D11" s="51"/>
      <c r="E11" s="53">
        <v>15.079999923706101</v>
      </c>
      <c r="F11" s="51">
        <v>24.98601003846009</v>
      </c>
      <c r="H11" s="120">
        <f t="shared" ref="H11" si="1">ROUNDDOWN(AVERAGE(C11:C13,F11:F13),3)</f>
        <v>29.681999999999999</v>
      </c>
    </row>
    <row r="12" spans="1:8">
      <c r="A12" s="119"/>
      <c r="B12" s="49">
        <v>14.8999996185303</v>
      </c>
      <c r="C12" s="50">
        <v>31.501900093326217</v>
      </c>
      <c r="D12" s="50"/>
      <c r="E12" s="49">
        <v>14.9799995422363</v>
      </c>
      <c r="F12" s="50">
        <v>29.568586218285656</v>
      </c>
      <c r="H12" s="121"/>
    </row>
    <row r="13" spans="1:8">
      <c r="A13" s="119"/>
      <c r="B13" s="49">
        <v>14.9700002670288</v>
      </c>
      <c r="C13" s="50">
        <v>31.253286942476731</v>
      </c>
      <c r="D13" s="50"/>
      <c r="E13" s="49">
        <v>15.039999961853001</v>
      </c>
      <c r="F13" s="50">
        <v>29.249135378665965</v>
      </c>
      <c r="H13" s="121"/>
    </row>
    <row r="14" spans="1:8">
      <c r="A14" s="117" t="s">
        <v>51</v>
      </c>
      <c r="B14" s="13"/>
      <c r="C14" s="51">
        <f>ROUNDDOWN(AVERAGE(C5:C13),3)</f>
        <v>30.193999999999999</v>
      </c>
      <c r="D14" s="13"/>
      <c r="E14" s="13"/>
      <c r="F14" s="51">
        <f>ROUNDDOWN(AVERAGE(F5:F13),3)</f>
        <v>29.047999999999998</v>
      </c>
      <c r="G14" s="13"/>
      <c r="H14" s="51">
        <f>ROUNDDOWN(AVERAGE(C5:C13,F5:F13),3)</f>
        <v>29.620999999999999</v>
      </c>
    </row>
    <row r="15" spans="1:8">
      <c r="A15" s="118"/>
      <c r="B15" s="8"/>
      <c r="C15" s="12">
        <f>ROUNDDOWN(-1*STDEV(C5:C13),3)</f>
        <v>-1.071</v>
      </c>
      <c r="D15" s="8"/>
      <c r="E15" s="8"/>
      <c r="F15" s="12">
        <f>ROUNDDOWN(-1*STDEV(F5:F13),3)</f>
        <v>-1.819</v>
      </c>
      <c r="G15" s="8"/>
      <c r="H15" s="12">
        <f>ROUNDDOWN(-1*STDEV(C5:C13,F5:F13),3)</f>
        <v>-1.5640000000000001</v>
      </c>
    </row>
  </sheetData>
  <mergeCells count="11">
    <mergeCell ref="A14:A15"/>
    <mergeCell ref="A8:A10"/>
    <mergeCell ref="H8:H10"/>
    <mergeCell ref="A11:A13"/>
    <mergeCell ref="H11:H13"/>
    <mergeCell ref="A3:A4"/>
    <mergeCell ref="A5:A7"/>
    <mergeCell ref="H5:H7"/>
    <mergeCell ref="B3:C3"/>
    <mergeCell ref="E3:F3"/>
    <mergeCell ref="H3:H4"/>
  </mergeCells>
  <phoneticPr fontId="2"/>
  <pageMargins left="0.7" right="0.7" top="0.75" bottom="0.75" header="0.3" footer="0.3"/>
  <ignoredErrors>
    <ignoredError sqref="H5 H8 H1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34A4E-5F72-6648-84EB-864D40DDF69D}">
  <dimension ref="C3:E10"/>
  <sheetViews>
    <sheetView workbookViewId="0">
      <selection activeCell="D5" sqref="D4:D5"/>
    </sheetView>
  </sheetViews>
  <sheetFormatPr baseColWidth="10" defaultRowHeight="20"/>
  <cols>
    <col min="3" max="3" width="39.5703125" customWidth="1"/>
    <col min="4" max="4" width="11.7109375" customWidth="1"/>
    <col min="5" max="5" width="20.42578125" customWidth="1"/>
  </cols>
  <sheetData>
    <row r="3" spans="3:5" ht="23" customHeight="1">
      <c r="C3" s="31" t="s">
        <v>18</v>
      </c>
      <c r="D3" s="31" t="s">
        <v>16</v>
      </c>
      <c r="E3" s="31" t="s">
        <v>52</v>
      </c>
    </row>
    <row r="4" spans="3:5" ht="23" customHeight="1">
      <c r="C4" s="13" t="s">
        <v>88</v>
      </c>
      <c r="D4" s="3">
        <v>1749.3</v>
      </c>
      <c r="E4" t="s">
        <v>84</v>
      </c>
    </row>
    <row r="5" spans="3:5" ht="23" customHeight="1">
      <c r="C5" t="s">
        <v>89</v>
      </c>
      <c r="D5" s="75">
        <v>0.81579999999999997</v>
      </c>
      <c r="E5" t="s">
        <v>86</v>
      </c>
    </row>
    <row r="6" spans="3:5" ht="23" customHeight="1">
      <c r="C6" t="s">
        <v>90</v>
      </c>
      <c r="D6" s="69">
        <v>137173</v>
      </c>
      <c r="E6" s="70" t="s">
        <v>82</v>
      </c>
    </row>
    <row r="7" spans="3:5" ht="23" customHeight="1">
      <c r="C7" t="s">
        <v>91</v>
      </c>
      <c r="D7" s="3">
        <f>ROUNDDOWN(D4*(1-D5)*D6/1000000,3)</f>
        <v>44.2</v>
      </c>
      <c r="E7" t="s">
        <v>30</v>
      </c>
    </row>
    <row r="8" spans="3:5" ht="23" customHeight="1">
      <c r="C8" s="70" t="s">
        <v>87</v>
      </c>
      <c r="D8" s="76">
        <v>0.29620000000000002</v>
      </c>
      <c r="E8" s="71" t="s">
        <v>53</v>
      </c>
    </row>
    <row r="9" spans="3:5">
      <c r="C9" s="70" t="s">
        <v>83</v>
      </c>
      <c r="D9" s="72">
        <f>ROUNDDOWN(D7*D8,3)</f>
        <v>13.092000000000001</v>
      </c>
      <c r="E9" t="s">
        <v>30</v>
      </c>
    </row>
    <row r="10" spans="3:5">
      <c r="C10" s="77" t="s">
        <v>85</v>
      </c>
      <c r="D10" s="73">
        <f>D9*44/12</f>
        <v>48.003999999999998</v>
      </c>
      <c r="E10" s="8" t="s">
        <v>30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5AF55-C247-C447-9ABE-7C1E6BB86CD2}">
  <dimension ref="B3:E14"/>
  <sheetViews>
    <sheetView workbookViewId="0">
      <selection activeCell="E14" sqref="E14"/>
    </sheetView>
  </sheetViews>
  <sheetFormatPr baseColWidth="10" defaultRowHeight="34" customHeight="1"/>
  <cols>
    <col min="2" max="2" width="29.5703125" customWidth="1"/>
    <col min="3" max="3" width="3.85546875" customWidth="1"/>
    <col min="4" max="4" width="10.28515625" customWidth="1"/>
    <col min="5" max="5" width="35" customWidth="1"/>
  </cols>
  <sheetData>
    <row r="3" spans="2:5" ht="34" customHeight="1">
      <c r="B3" s="124" t="s">
        <v>18</v>
      </c>
      <c r="C3" s="124"/>
      <c r="D3" s="56" t="s">
        <v>55</v>
      </c>
      <c r="E3" s="57" t="s">
        <v>27</v>
      </c>
    </row>
    <row r="4" spans="2:5" ht="34" customHeight="1">
      <c r="B4" s="125" t="s">
        <v>98</v>
      </c>
      <c r="C4" s="125"/>
      <c r="D4" s="31">
        <v>17.489999999999998</v>
      </c>
      <c r="E4" s="55" t="s">
        <v>54</v>
      </c>
    </row>
    <row r="5" spans="2:5" ht="34" customHeight="1">
      <c r="B5" s="127" t="s">
        <v>89</v>
      </c>
      <c r="C5" s="127"/>
      <c r="D5" s="75">
        <v>0.81579999999999997</v>
      </c>
      <c r="E5" s="78"/>
    </row>
    <row r="6" spans="2:5" ht="60" customHeight="1">
      <c r="B6" s="126" t="s">
        <v>92</v>
      </c>
      <c r="C6" s="126"/>
      <c r="D6" s="22">
        <v>4</v>
      </c>
      <c r="E6" s="23" t="s">
        <v>33</v>
      </c>
    </row>
    <row r="7" spans="2:5" ht="40" customHeight="1">
      <c r="B7" s="126" t="s">
        <v>93</v>
      </c>
      <c r="C7" s="126"/>
      <c r="D7" s="59">
        <v>29.62</v>
      </c>
      <c r="E7" s="60" t="s">
        <v>53</v>
      </c>
    </row>
    <row r="8" spans="2:5" ht="34" customHeight="1">
      <c r="B8" s="126" t="s">
        <v>94</v>
      </c>
      <c r="C8" s="126"/>
      <c r="D8" s="56">
        <v>0.16200000000000001</v>
      </c>
      <c r="E8" s="128" t="s">
        <v>28</v>
      </c>
    </row>
    <row r="9" spans="2:5" ht="34" customHeight="1">
      <c r="B9" s="126" t="s">
        <v>95</v>
      </c>
      <c r="C9" s="126"/>
      <c r="D9" s="56">
        <v>1.8100000000000002E-2</v>
      </c>
      <c r="E9" s="128"/>
    </row>
    <row r="10" spans="2:5" ht="34" customHeight="1">
      <c r="B10" s="126" t="s">
        <v>96</v>
      </c>
      <c r="C10" s="126"/>
      <c r="D10" s="56">
        <v>2.12</v>
      </c>
      <c r="E10" s="128"/>
    </row>
    <row r="11" spans="2:5" ht="34" customHeight="1">
      <c r="B11" s="126" t="s">
        <v>97</v>
      </c>
      <c r="C11" s="126"/>
      <c r="D11" s="64">
        <v>3.6659999999999999</v>
      </c>
      <c r="E11" s="60" t="s">
        <v>29</v>
      </c>
    </row>
    <row r="12" spans="2:5" ht="40" customHeight="1">
      <c r="B12" s="129" t="s">
        <v>99</v>
      </c>
      <c r="C12" s="130"/>
      <c r="D12" s="61">
        <f>ROUNDDOWN((D4*(1-D5)*D6*D7*(D8+D9)*D10*D11/100),4)</f>
        <v>5.3426999999999998</v>
      </c>
      <c r="E12" s="60" t="s">
        <v>30</v>
      </c>
    </row>
    <row r="13" spans="2:5" ht="34" customHeight="1">
      <c r="B13" s="126" t="s">
        <v>31</v>
      </c>
      <c r="C13" s="126"/>
      <c r="D13" s="62">
        <v>13.7173</v>
      </c>
      <c r="E13" s="60" t="s">
        <v>56</v>
      </c>
    </row>
    <row r="14" spans="2:5" ht="34" customHeight="1">
      <c r="B14" s="128" t="s">
        <v>32</v>
      </c>
      <c r="C14" s="126"/>
      <c r="D14" s="63">
        <f>ROUNDDOWN(D12*D13,4)</f>
        <v>73.287400000000005</v>
      </c>
      <c r="E14" s="58"/>
    </row>
  </sheetData>
  <mergeCells count="13">
    <mergeCell ref="B14:C14"/>
    <mergeCell ref="E8:E10"/>
    <mergeCell ref="B9:C9"/>
    <mergeCell ref="B10:C10"/>
    <mergeCell ref="B11:C11"/>
    <mergeCell ref="B12:C12"/>
    <mergeCell ref="B13:C13"/>
    <mergeCell ref="B3:C3"/>
    <mergeCell ref="B4:C4"/>
    <mergeCell ref="B6:C6"/>
    <mergeCell ref="B7:C7"/>
    <mergeCell ref="B8:C8"/>
    <mergeCell ref="B5:C5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C3809-75BE-A646-AF79-D17A98597E51}">
  <dimension ref="B3:D6"/>
  <sheetViews>
    <sheetView workbookViewId="0">
      <selection activeCell="A11" sqref="A11"/>
    </sheetView>
  </sheetViews>
  <sheetFormatPr baseColWidth="10" defaultRowHeight="20"/>
  <cols>
    <col min="4" max="4" width="31.140625" customWidth="1"/>
  </cols>
  <sheetData>
    <row r="3" spans="2:4" ht="31" customHeight="1">
      <c r="B3" s="35" t="s">
        <v>75</v>
      </c>
      <c r="C3" s="35" t="s">
        <v>76</v>
      </c>
      <c r="D3" s="35" t="s">
        <v>77</v>
      </c>
    </row>
    <row r="4" spans="2:4" ht="31" customHeight="1">
      <c r="B4" s="32">
        <v>4</v>
      </c>
      <c r="C4" s="20">
        <v>7.3</v>
      </c>
      <c r="D4" s="32" t="s">
        <v>78</v>
      </c>
    </row>
    <row r="5" spans="2:4" ht="31" customHeight="1">
      <c r="B5" s="33">
        <v>5</v>
      </c>
      <c r="C5" s="17">
        <v>7.6</v>
      </c>
      <c r="D5" s="33" t="s">
        <v>79</v>
      </c>
    </row>
    <row r="6" spans="2:4" ht="31" customHeight="1">
      <c r="B6" s="34">
        <v>6</v>
      </c>
      <c r="C6" s="18">
        <v>7.5</v>
      </c>
      <c r="D6" s="34" t="s">
        <v>80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EC9CB-8E6C-4D46-ACBD-1166D1C4B3CE}">
  <dimension ref="B3:D7"/>
  <sheetViews>
    <sheetView workbookViewId="0">
      <selection activeCell="M28" sqref="M28"/>
    </sheetView>
  </sheetViews>
  <sheetFormatPr baseColWidth="10" defaultRowHeight="20"/>
  <sheetData>
    <row r="3" spans="2:4" ht="21">
      <c r="B3" s="19" t="s">
        <v>0</v>
      </c>
      <c r="C3" s="19" t="s">
        <v>57</v>
      </c>
      <c r="D3" s="19" t="s">
        <v>58</v>
      </c>
    </row>
    <row r="4" spans="2:4">
      <c r="B4" s="17">
        <v>4</v>
      </c>
      <c r="C4" s="20">
        <v>0.41599999999999998</v>
      </c>
      <c r="D4" s="65">
        <f>ROUNDDOWN(C4/4,4)</f>
        <v>0.104</v>
      </c>
    </row>
    <row r="5" spans="2:4">
      <c r="B5" s="17">
        <v>5</v>
      </c>
      <c r="C5" s="26">
        <v>0.248</v>
      </c>
      <c r="D5" s="66">
        <f>ROUNDDOWN(C5/4,4)</f>
        <v>6.2E-2</v>
      </c>
    </row>
    <row r="6" spans="2:4">
      <c r="B6" s="18">
        <v>6</v>
      </c>
      <c r="C6" s="26">
        <v>0.22500000000000001</v>
      </c>
      <c r="D6" s="66">
        <f t="shared" ref="D6" si="0">ROUNDDOWN(C6/4,4)</f>
        <v>5.62E-2</v>
      </c>
    </row>
    <row r="7" spans="2:4" ht="21">
      <c r="B7" s="19" t="s">
        <v>43</v>
      </c>
      <c r="C7" s="67">
        <f>ROUNDDOWN(AVERAGE(C4:C6),4)</f>
        <v>0.29630000000000001</v>
      </c>
      <c r="D7" s="68">
        <f>ROUNDDOWN(AVERAGE(D4:D6),4)</f>
        <v>7.3999999999999996E-2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2.生物量表 2</vt:lpstr>
      <vt:lpstr>2.生物量表 3</vt:lpstr>
      <vt:lpstr>2.生物量表　4</vt:lpstr>
      <vt:lpstr>2.生物量表　5</vt:lpstr>
      <vt:lpstr>3.CO2吸収量表1</vt:lpstr>
      <vt:lpstr>3.CO2吸収量表2</vt:lpstr>
      <vt:lpstr>3.CO2吸収量表3</vt:lpstr>
      <vt:lpstr>4.ベースライン　表1</vt:lpstr>
      <vt:lpstr>4.ベースライン　表2</vt:lpstr>
      <vt:lpstr>4.ベースライン　表3</vt:lpstr>
      <vt:lpstr>4.ベースライン　表4</vt:lpstr>
      <vt:lpstr>4.ベースライン 表5</vt:lpstr>
      <vt:lpstr>4.ベースライン 表6</vt:lpstr>
      <vt:lpstr>4.ベースライン 表7</vt:lpstr>
      <vt:lpstr>4.ベースライン 表8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桐原 慎二</dc:creator>
  <cp:lastModifiedBy>Microsoft Office User</cp:lastModifiedBy>
  <dcterms:created xsi:type="dcterms:W3CDTF">2025-10-03T03:35:13Z</dcterms:created>
  <dcterms:modified xsi:type="dcterms:W3CDTF">2025-11-21T00:57:41Z</dcterms:modified>
</cp:coreProperties>
</file>